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updateLinks="always"/>
  <mc:AlternateContent xmlns:mc="http://schemas.openxmlformats.org/markup-compatibility/2006">
    <mc:Choice Requires="x15">
      <x15ac:absPath xmlns:x15ac="http://schemas.microsoft.com/office/spreadsheetml/2010/11/ac" url="X:\UPRA\Contratacion 2022\LP y PA\Cadena maiz\POP\20220628_Web UPRA\"/>
    </mc:Choice>
  </mc:AlternateContent>
  <bookViews>
    <workbookView xWindow="-120" yWindow="-120" windowWidth="20730" windowHeight="11160" activeTab="2"/>
  </bookViews>
  <sheets>
    <sheet name="Instructivo" sheetId="1" r:id="rId1"/>
    <sheet name="Directrices  Generales " sheetId="2" r:id="rId2"/>
    <sheet name="Glosario categoria de costos" sheetId="33" r:id="rId3"/>
    <sheet name="Categoria Costos Def" sheetId="32" r:id="rId4"/>
    <sheet name="Estimación anualizada " sheetId="21" r:id="rId5"/>
    <sheet name="Estimación por período" sheetId="14" r:id="rId6"/>
    <sheet name="Fuentes" sheetId="36" r:id="rId7"/>
    <sheet name="P1" sheetId="5" r:id="rId8"/>
    <sheet name="P2" sheetId="35" r:id="rId9"/>
    <sheet name="P3" sheetId="23" r:id="rId10"/>
    <sheet name="P4" sheetId="24" r:id="rId11"/>
    <sheet name="P5" sheetId="25" r:id="rId12"/>
    <sheet name="P6" sheetId="8" r:id="rId13"/>
    <sheet name="P7" sheetId="9" r:id="rId14"/>
    <sheet name="P8" sheetId="27" r:id="rId15"/>
    <sheet name="P9" sheetId="20" r:id="rId16"/>
    <sheet name="Portafolio_Cadena_Maíz" sheetId="3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#N/A</definedName>
    <definedName name="\b">#N/A</definedName>
    <definedName name="_____hhh444" localSheetId="3">#REF!</definedName>
    <definedName name="_____hhh444" localSheetId="1">#REF!</definedName>
    <definedName name="_____hhh444" localSheetId="7">#REF!</definedName>
    <definedName name="_____hhh444" localSheetId="8">#REF!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15">#REF!</definedName>
    <definedName name="_____hhh444" localSheetId="16">#REF!</definedName>
    <definedName name="_____hhh444">#REF!</definedName>
    <definedName name="___hhh444" localSheetId="3">#REF!</definedName>
    <definedName name="___hhh444" localSheetId="1">#REF!</definedName>
    <definedName name="___hhh444">#REF!</definedName>
    <definedName name="_xlnm._FilterDatabase" localSheetId="16" hidden="1">Portafolio_Cadena_Maíz!$A$1:$G$155</definedName>
    <definedName name="_ftnref3" localSheetId="16">Portafolio_Cadena_Maíz!#REF!</definedName>
    <definedName name="_ftnref4" localSheetId="16">Portafolio_Cadena_Maíz!#REF!</definedName>
    <definedName name="_ftnref5" localSheetId="16">Portafolio_Cadena_Maíz!#REF!</definedName>
    <definedName name="_hhh444" localSheetId="3">#REF!</definedName>
    <definedName name="_hhh444" localSheetId="1">#REF!</definedName>
    <definedName name="_hhh444" localSheetId="10">#REF!</definedName>
    <definedName name="_hhh444" localSheetId="11">#REF!</definedName>
    <definedName name="_hhh444" localSheetId="14">#REF!</definedName>
    <definedName name="_hhh444" localSheetId="15">#REF!</definedName>
    <definedName name="_hhh444" localSheetId="16">#REF!</definedName>
    <definedName name="_hhh444">#REF!</definedName>
    <definedName name="A_impresión_IM" localSheetId="3">#REF!</definedName>
    <definedName name="A_impresión_IM">#REF!</definedName>
    <definedName name="aaa" localSheetId="3">#REF!</definedName>
    <definedName name="aaa">#REF!</definedName>
    <definedName name="abuela" localSheetId="3">#REF!</definedName>
    <definedName name="abuela">#REF!</definedName>
    <definedName name="africa" localSheetId="3">#REF!</definedName>
    <definedName name="africa">#REF!</definedName>
    <definedName name="aleman" localSheetId="3">#REF!</definedName>
    <definedName name="aleman">#REF!</definedName>
    <definedName name="ALO" localSheetId="3">#REF!</definedName>
    <definedName name="ALO">#REF!</definedName>
    <definedName name="AREA_COSECHADA" localSheetId="3">#REF!</definedName>
    <definedName name="AREA_COSECHADA">#REF!</definedName>
    <definedName name="_xlnm.Print_Area" localSheetId="3">#REF!</definedName>
    <definedName name="_xlnm.Print_Area">#REF!</definedName>
    <definedName name="AREA_SEMBRADA" localSheetId="3">#REF!</definedName>
    <definedName name="AREA_SEMBRADA">#REF!</definedName>
    <definedName name="asia" localSheetId="3">#REF!</definedName>
    <definedName name="asia">#REF!</definedName>
    <definedName name="astringente" localSheetId="3">#REF!</definedName>
    <definedName name="astringente">#REF!</definedName>
    <definedName name="autralia" localSheetId="3">#REF!</definedName>
    <definedName name="autralia">#REF!</definedName>
    <definedName name="bobada" localSheetId="3">#REF!</definedName>
    <definedName name="bobada">#REF!</definedName>
    <definedName name="cambio" localSheetId="3">#REF!</definedName>
    <definedName name="cambio">#REF!</definedName>
    <definedName name="cccc">#N/A</definedName>
    <definedName name="centro" localSheetId="3">#REF!</definedName>
    <definedName name="centro" localSheetId="1">#REF!</definedName>
    <definedName name="centro" localSheetId="7">#REF!</definedName>
    <definedName name="centro" localSheetId="8">#REF!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15">#REF!</definedName>
    <definedName name="centro" localSheetId="16">#REF!</definedName>
    <definedName name="centro">#REF!</definedName>
    <definedName name="contestar" localSheetId="3">#REF!</definedName>
    <definedName name="contestar" localSheetId="1">#REF!</definedName>
    <definedName name="contestar">#REF!</definedName>
    <definedName name="cuadro2a" localSheetId="3">#REF!</definedName>
    <definedName name="cuadro2a" localSheetId="1">#REF!</definedName>
    <definedName name="cuadro2a">#REF!</definedName>
    <definedName name="CULTIVOS">[1]Hoja1!$AK$1:$AK$99</definedName>
    <definedName name="d" localSheetId="3">#REF!</definedName>
    <definedName name="d" localSheetId="7">#REF!</definedName>
    <definedName name="d" localSheetId="8">#REF!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#REF!</definedName>
    <definedName name="desconocido" localSheetId="3">#REF!</definedName>
    <definedName name="desconocido" localSheetId="1">#REF!</definedName>
    <definedName name="desconocido">#REF!</definedName>
    <definedName name="Desespero" localSheetId="3">#REF!</definedName>
    <definedName name="Desespero" localSheetId="1">#REF!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7">#REF!</definedName>
    <definedName name="Extraordinario" localSheetId="8">#REF!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15">#REF!</definedName>
    <definedName name="Extraordinario" localSheetId="16">#REF!</definedName>
    <definedName name="Extraordinario">#REF!</definedName>
    <definedName name="FECHA" localSheetId="3">#REF!</definedName>
    <definedName name="FECHA" localSheetId="1">#REF!</definedName>
    <definedName name="FECHA">#REF!</definedName>
    <definedName name="ffffddddd" localSheetId="3">#REF!</definedName>
    <definedName name="ffffddddd" localSheetId="1">#REF!</definedName>
    <definedName name="ffffddddd">#REF!</definedName>
    <definedName name="fffsd" localSheetId="3">#REF!</definedName>
    <definedName name="fffsd">#REF!</definedName>
    <definedName name="fgfgfg" localSheetId="3">#REF!</definedName>
    <definedName name="fgfgfg">#REF!</definedName>
    <definedName name="fhfhfhfjjj" localSheetId="3">#REF!</definedName>
    <definedName name="fhfhfhfjjj">#REF!</definedName>
    <definedName name="ggg" localSheetId="3">#REF!</definedName>
    <definedName name="ggg">#REF!</definedName>
    <definedName name="ggggg" localSheetId="3">#REF!</definedName>
    <definedName name="ggggg">#REF!</definedName>
    <definedName name="gggggg" localSheetId="3">#REF!</definedName>
    <definedName name="gggggg">#REF!</definedName>
    <definedName name="gggggg5" localSheetId="3">#REF!</definedName>
    <definedName name="gggggg5">#REF!</definedName>
    <definedName name="global" localSheetId="3">#REF!</definedName>
    <definedName name="global">#REF!</definedName>
    <definedName name="hfhfhfhfhf" localSheetId="3">#REF!</definedName>
    <definedName name="hfhfhfhfhf">#REF!</definedName>
    <definedName name="hhh" localSheetId="3">#REF!</definedName>
    <definedName name="hhh">#REF!</definedName>
    <definedName name="hijo" localSheetId="3">#REF!</definedName>
    <definedName name="hijo">#REF!</definedName>
    <definedName name="hoas" localSheetId="3">#REF!</definedName>
    <definedName name="hoas">#REF!</definedName>
    <definedName name="hoja" localSheetId="3">#REF!</definedName>
    <definedName name="hoja">#REF!</definedName>
    <definedName name="idea" localSheetId="3">#REF!</definedName>
    <definedName name="idea">#REF!</definedName>
    <definedName name="Increible" localSheetId="3">#REF!</definedName>
    <definedName name="Increible">#REF!</definedName>
    <definedName name="jjjjjjjjkkkk" localSheetId="3">#REF!</definedName>
    <definedName name="jjjjjjjjkkkk">#REF!</definedName>
    <definedName name="jjjkkkk" localSheetId="3">#REF!</definedName>
    <definedName name="jjjkkkk">#REF!</definedName>
    <definedName name="joder" localSheetId="3">#REF!</definedName>
    <definedName name="joder">#REF!</definedName>
    <definedName name="kkkkkkk" localSheetId="3">#REF!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3">#REF!</definedName>
    <definedName name="Mamada" localSheetId="1">#REF!</definedName>
    <definedName name="Mamada" localSheetId="7">#REF!</definedName>
    <definedName name="Mamada" localSheetId="8">#REF!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15">#REF!</definedName>
    <definedName name="Mamada" localSheetId="16">#REF!</definedName>
    <definedName name="Mamada">#REF!</definedName>
    <definedName name="manera" localSheetId="3">#REF!</definedName>
    <definedName name="manera" localSheetId="1">#REF!</definedName>
    <definedName name="manera">#REF!</definedName>
    <definedName name="marina" localSheetId="3">#REF!</definedName>
    <definedName name="marina" localSheetId="1">#REF!</definedName>
    <definedName name="marina">#REF!</definedName>
    <definedName name="marta" localSheetId="3">#REF!</definedName>
    <definedName name="marta">#REF!</definedName>
    <definedName name="mundo" localSheetId="3">#REF!</definedName>
    <definedName name="mundo">#REF!</definedName>
    <definedName name="Nada" localSheetId="3">#REF!</definedName>
    <definedName name="Nada">#REF!</definedName>
    <definedName name="Naturaleza1" localSheetId="3">#REF!</definedName>
    <definedName name="Naturaleza1">#REF!</definedName>
    <definedName name="necesito" localSheetId="3">#REF!</definedName>
    <definedName name="necesito">#REF!</definedName>
    <definedName name="ninguna" localSheetId="3">#REF!</definedName>
    <definedName name="ninguna">#REF!</definedName>
    <definedName name="Noto" localSheetId="3">#REF!</definedName>
    <definedName name="Noto">#REF!</definedName>
    <definedName name="Notorio" localSheetId="3">#REF!</definedName>
    <definedName name="Notorio">#REF!</definedName>
    <definedName name="otro" localSheetId="3">#REF!</definedName>
    <definedName name="otro">#REF!</definedName>
    <definedName name="paises" localSheetId="3">[6]COD!$A$1:$B$275</definedName>
    <definedName name="paises">[7]COD!$A$1:$B$275</definedName>
    <definedName name="pasara" localSheetId="3">#REF!</definedName>
    <definedName name="pasara" localSheetId="1">#REF!</definedName>
    <definedName name="pasara" localSheetId="7">#REF!</definedName>
    <definedName name="pasara" localSheetId="8">#REF!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15">#REF!</definedName>
    <definedName name="pasara" localSheetId="16">#REF!</definedName>
    <definedName name="pasara">#REF!</definedName>
    <definedName name="pastor" localSheetId="3">#REF!</definedName>
    <definedName name="pastor" localSheetId="1">#REF!</definedName>
    <definedName name="pastor">#REF!</definedName>
    <definedName name="pensando" localSheetId="3">#REF!</definedName>
    <definedName name="pensando" localSheetId="1">#REF!</definedName>
    <definedName name="pensando">#REF!</definedName>
    <definedName name="PERIODO" localSheetId="3">#REF!</definedName>
    <definedName name="PERIODO">#REF!</definedName>
    <definedName name="piso" localSheetId="3">#REF!</definedName>
    <definedName name="piso">#REF!</definedName>
    <definedName name="PRODUCCION" localSheetId="3">#REF!</definedName>
    <definedName name="PRODUCCION">#REF!</definedName>
    <definedName name="PROGRAMAS" localSheetId="3">'[8]SECTORES,PROGRAMAS Y SUBPROGRAM'!$C$4:$D$166</definedName>
    <definedName name="PROGRAMAS">'[9]SECTORES,PROGRAMAS Y SUBPROGRAM'!$C$4:$D$171</definedName>
    <definedName name="puntilla" localSheetId="3">#REF!</definedName>
    <definedName name="puntilla" localSheetId="7">#REF!</definedName>
    <definedName name="puntilla" localSheetId="8">#REF!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15">#REF!</definedName>
    <definedName name="puntilla" localSheetId="16">#REF!</definedName>
    <definedName name="puntilla">#REF!</definedName>
    <definedName name="quizas" localSheetId="3">#REF!</definedName>
    <definedName name="quizas">#REF!</definedName>
    <definedName name="Rama1" localSheetId="3">#REF!</definedName>
    <definedName name="Rama1">#REF!</definedName>
    <definedName name="RangoCriterio2">[10]Detalle!$K:$K</definedName>
    <definedName name="RangoValor">[10]Detalle!$I:$I</definedName>
    <definedName name="RENDIMIENTO" localSheetId="3">#REF!</definedName>
    <definedName name="RENDIMIENTO" localSheetId="1">#REF!</definedName>
    <definedName name="RENDIMIENTO" localSheetId="7">#REF!</definedName>
    <definedName name="RENDIMIENTO" localSheetId="8">#REF!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15">#REF!</definedName>
    <definedName name="RENDIMIENTO" localSheetId="16">#REF!</definedName>
    <definedName name="RENDIMIENTO">#REF!</definedName>
    <definedName name="Ruta_Critica_1" localSheetId="3">#REF!</definedName>
    <definedName name="Ruta_Critica_1">#REF!</definedName>
    <definedName name="santa" localSheetId="3">#REF!</definedName>
    <definedName name="santa" localSheetId="1">#REF!</definedName>
    <definedName name="santa">#REF!</definedName>
    <definedName name="secores">'[11]Sectores y Programas'!$H$5:$I$34</definedName>
    <definedName name="Sector1">[12]Cuentas_Corrientes!$A$133:$I$133</definedName>
    <definedName name="Sector3" localSheetId="3">#REF!</definedName>
    <definedName name="Sector3" localSheetId="1">#REF!</definedName>
    <definedName name="Sector3" localSheetId="7">#REF!</definedName>
    <definedName name="Sector3" localSheetId="8">#REF!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15">#REF!</definedName>
    <definedName name="Sector3" localSheetId="16">#REF!</definedName>
    <definedName name="Sector3">#REF!</definedName>
    <definedName name="Sector4" localSheetId="3">#REF!</definedName>
    <definedName name="Sector4" localSheetId="1">#REF!</definedName>
    <definedName name="Sector4">#REF!</definedName>
    <definedName name="SECTORES">[9]!SECTOR[[#All],[Codigo ]:[Nombre ]]</definedName>
    <definedName name="septico" localSheetId="3">#REF!</definedName>
    <definedName name="septico" localSheetId="1">#REF!</definedName>
    <definedName name="septico" localSheetId="7">#REF!</definedName>
    <definedName name="septico" localSheetId="8">#REF!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15">#REF!</definedName>
    <definedName name="septico" localSheetId="16">#REF!</definedName>
    <definedName name="septico">#REF!</definedName>
    <definedName name="suerte" localSheetId="3">#REF!</definedName>
    <definedName name="suerte">#REF!</definedName>
    <definedName name="Tabla_asignación" localSheetId="3">#REF!</definedName>
    <definedName name="Tabla_asignación">#REF!</definedName>
    <definedName name="Tabla_Recursos" localSheetId="3">#REF!</definedName>
    <definedName name="Tabla_Recursos">#REF!</definedName>
    <definedName name="tendre" localSheetId="3">#REF!</definedName>
    <definedName name="tendre">#REF!</definedName>
    <definedName name="tener" localSheetId="3">#REF!</definedName>
    <definedName name="tener">#REF!</definedName>
    <definedName name="tierra" localSheetId="3">#REF!</definedName>
    <definedName name="tierra">#REF!</definedName>
    <definedName name="TIR" localSheetId="3">#REF!</definedName>
    <definedName name="TIR">#REF!</definedName>
    <definedName name="TITULO" localSheetId="3">#REF!</definedName>
    <definedName name="TITULO">#REF!</definedName>
    <definedName name="_xlnm.Print_Titles" localSheetId="3">#REF!,#REF!</definedName>
    <definedName name="_xlnm.Print_Titles" localSheetId="1">#REF!,#REF!</definedName>
    <definedName name="_xlnm.Print_Titles" localSheetId="7">#REF!,#REF!</definedName>
    <definedName name="_xlnm.Print_Titles" localSheetId="8">#REF!,#REF!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 localSheetId="16">#REF!,#REF!</definedName>
    <definedName name="_xlnm.Print_Titles">#REF!,#REF!</definedName>
    <definedName name="Ton">[13]Parámetros!$B$4</definedName>
    <definedName name="Totaldepto" localSheetId="3">#REF!</definedName>
    <definedName name="Totaldepto" localSheetId="1">#REF!</definedName>
    <definedName name="Totaldepto" localSheetId="7">#REF!</definedName>
    <definedName name="Totaldepto" localSheetId="8">#REF!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15">#REF!</definedName>
    <definedName name="Totaldepto" localSheetId="16">#REF!</definedName>
    <definedName name="Totaldepto">#REF!</definedName>
    <definedName name="Transaccion1" localSheetId="3">#REF!</definedName>
    <definedName name="Transaccion1" localSheetId="1">#REF!</definedName>
    <definedName name="Transaccion1">#REF!</definedName>
    <definedName name="Valoracion1" localSheetId="3">#REF!</definedName>
    <definedName name="Valoracion1" localSheetId="1">#REF!</definedName>
    <definedName name="Valoracion1">#REF!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16" i="32" l="1"/>
  <c r="D720" i="32" s="1"/>
  <c r="F720" i="32" s="1"/>
  <c r="H720" i="32" s="1"/>
  <c r="B4" i="23"/>
  <c r="Q43" i="36"/>
  <c r="D718" i="32" l="1"/>
  <c r="F718" i="32" s="1"/>
  <c r="H718" i="32" s="1"/>
  <c r="D719" i="32"/>
  <c r="F719" i="32" s="1"/>
  <c r="H719" i="32" s="1"/>
  <c r="A42" i="36"/>
  <c r="H37" i="36"/>
  <c r="G33" i="36"/>
  <c r="F21" i="36"/>
  <c r="P21" i="36" s="1"/>
  <c r="H11" i="36"/>
  <c r="E8" i="14"/>
  <c r="E9" i="14"/>
  <c r="E12" i="14"/>
  <c r="E13" i="14"/>
  <c r="E20" i="14"/>
  <c r="E21" i="14"/>
  <c r="E22" i="14"/>
  <c r="E23" i="14"/>
  <c r="E24" i="14"/>
  <c r="E30" i="14"/>
  <c r="E31" i="14"/>
  <c r="E32" i="14"/>
  <c r="E33" i="14"/>
  <c r="E34" i="14"/>
  <c r="E35" i="14"/>
  <c r="E36" i="14"/>
  <c r="E37" i="14"/>
  <c r="E38" i="14"/>
  <c r="E39" i="14"/>
  <c r="E40" i="14"/>
  <c r="E41" i="14"/>
  <c r="E42" i="14"/>
  <c r="D8" i="14"/>
  <c r="D9" i="14"/>
  <c r="D12" i="14"/>
  <c r="D13" i="14"/>
  <c r="D20" i="14"/>
  <c r="D21" i="14"/>
  <c r="D22" i="14"/>
  <c r="D23" i="14"/>
  <c r="D24" i="14"/>
  <c r="D30" i="14"/>
  <c r="D31" i="14"/>
  <c r="D32" i="14"/>
  <c r="D33" i="14"/>
  <c r="D34" i="14"/>
  <c r="D35" i="14"/>
  <c r="D36" i="14"/>
  <c r="D37" i="14"/>
  <c r="D38" i="14"/>
  <c r="D39" i="14"/>
  <c r="D40" i="14"/>
  <c r="D41" i="14"/>
  <c r="D42" i="14"/>
  <c r="C8" i="14"/>
  <c r="C9" i="14"/>
  <c r="C12" i="14"/>
  <c r="C13" i="14"/>
  <c r="C20" i="14"/>
  <c r="C21" i="14"/>
  <c r="C22" i="14"/>
  <c r="C23" i="14"/>
  <c r="C24" i="14"/>
  <c r="C30" i="14"/>
  <c r="C31" i="14"/>
  <c r="C32" i="14"/>
  <c r="C33" i="14"/>
  <c r="C34" i="14"/>
  <c r="C35" i="14"/>
  <c r="C36" i="14"/>
  <c r="C37" i="14"/>
  <c r="C38" i="14"/>
  <c r="C39" i="14"/>
  <c r="C40" i="14"/>
  <c r="C41" i="14"/>
  <c r="C42" i="14"/>
  <c r="B8" i="14"/>
  <c r="B7" i="36" s="1"/>
  <c r="F7" i="36" s="1"/>
  <c r="P7" i="36" s="1"/>
  <c r="B9" i="14"/>
  <c r="B8" i="36" s="1"/>
  <c r="H8" i="36" s="1"/>
  <c r="B12" i="14"/>
  <c r="B11" i="36" s="1"/>
  <c r="G11" i="36" s="1"/>
  <c r="B13" i="14"/>
  <c r="B12" i="36" s="1"/>
  <c r="H12" i="36" s="1"/>
  <c r="B20" i="14"/>
  <c r="B19" i="36" s="1"/>
  <c r="B21" i="14"/>
  <c r="B20" i="36" s="1"/>
  <c r="H20" i="36" s="1"/>
  <c r="B22" i="14"/>
  <c r="B21" i="36" s="1"/>
  <c r="G21" i="36" s="1"/>
  <c r="B23" i="14"/>
  <c r="B22" i="36" s="1"/>
  <c r="B24" i="14"/>
  <c r="B23" i="36" s="1"/>
  <c r="F23" i="36" s="1"/>
  <c r="B30" i="14"/>
  <c r="B29" i="36" s="1"/>
  <c r="B31" i="14"/>
  <c r="B30" i="36" s="1"/>
  <c r="G30" i="36" s="1"/>
  <c r="B32" i="14"/>
  <c r="B31" i="36" s="1"/>
  <c r="H31" i="36" s="1"/>
  <c r="B33" i="14"/>
  <c r="B32" i="36" s="1"/>
  <c r="B34" i="14"/>
  <c r="B33" i="36" s="1"/>
  <c r="H33" i="36" s="1"/>
  <c r="B35" i="14"/>
  <c r="B34" i="36" s="1"/>
  <c r="H34" i="36" s="1"/>
  <c r="B36" i="14"/>
  <c r="B35" i="36" s="1"/>
  <c r="B37" i="14"/>
  <c r="B36" i="36" s="1"/>
  <c r="G36" i="36" s="1"/>
  <c r="B38" i="14"/>
  <c r="B37" i="36" s="1"/>
  <c r="G37" i="36" s="1"/>
  <c r="B39" i="14"/>
  <c r="B38" i="36" s="1"/>
  <c r="G38" i="36" s="1"/>
  <c r="B40" i="14"/>
  <c r="B39" i="36" s="1"/>
  <c r="F39" i="36" s="1"/>
  <c r="B41" i="14"/>
  <c r="B40" i="36" s="1"/>
  <c r="H40" i="36" s="1"/>
  <c r="B42" i="14"/>
  <c r="B41" i="36" s="1"/>
  <c r="H41" i="36" s="1"/>
  <c r="A8" i="14"/>
  <c r="A7" i="36" s="1"/>
  <c r="A9" i="14"/>
  <c r="A8" i="36" s="1"/>
  <c r="A10" i="14"/>
  <c r="A9" i="36" s="1"/>
  <c r="A11" i="14"/>
  <c r="A10" i="36" s="1"/>
  <c r="A12" i="14"/>
  <c r="A11" i="36" s="1"/>
  <c r="A13" i="14"/>
  <c r="A12" i="36" s="1"/>
  <c r="A14" i="14"/>
  <c r="A13" i="36" s="1"/>
  <c r="A15" i="14"/>
  <c r="A14" i="36" s="1"/>
  <c r="A16" i="14"/>
  <c r="A15" i="36" s="1"/>
  <c r="A17" i="14"/>
  <c r="A16" i="36" s="1"/>
  <c r="A18" i="14"/>
  <c r="A17" i="36" s="1"/>
  <c r="A19" i="14"/>
  <c r="A18" i="36" s="1"/>
  <c r="A20" i="14"/>
  <c r="A19" i="36" s="1"/>
  <c r="A21" i="14"/>
  <c r="A20" i="36" s="1"/>
  <c r="A22" i="14"/>
  <c r="A21" i="36" s="1"/>
  <c r="A24" i="14"/>
  <c r="A23" i="36" s="1"/>
  <c r="A25" i="14"/>
  <c r="A24" i="36" s="1"/>
  <c r="A26" i="14"/>
  <c r="A25" i="36" s="1"/>
  <c r="A27" i="14"/>
  <c r="A26" i="36" s="1"/>
  <c r="A28" i="14"/>
  <c r="A27" i="36" s="1"/>
  <c r="A29" i="14"/>
  <c r="A28" i="36" s="1"/>
  <c r="A30" i="14"/>
  <c r="A29" i="36" s="1"/>
  <c r="A31" i="14"/>
  <c r="A30" i="36" s="1"/>
  <c r="A32" i="14"/>
  <c r="A31" i="36" s="1"/>
  <c r="A33" i="14"/>
  <c r="A32" i="36" s="1"/>
  <c r="A34" i="14"/>
  <c r="A33" i="36" s="1"/>
  <c r="A35" i="14"/>
  <c r="A34" i="36" s="1"/>
  <c r="A36" i="14"/>
  <c r="A35" i="36" s="1"/>
  <c r="A37" i="14"/>
  <c r="A36" i="36" s="1"/>
  <c r="A38" i="14"/>
  <c r="A37" i="36" s="1"/>
  <c r="A39" i="14"/>
  <c r="A38" i="36" s="1"/>
  <c r="A40" i="14"/>
  <c r="A39" i="36" s="1"/>
  <c r="A41" i="14"/>
  <c r="A40" i="36" s="1"/>
  <c r="A42" i="14"/>
  <c r="A41" i="36" s="1"/>
  <c r="A7" i="14"/>
  <c r="A6" i="36" s="1"/>
  <c r="C35" i="21"/>
  <c r="D35" i="21"/>
  <c r="E35" i="21"/>
  <c r="F35" i="21"/>
  <c r="G35" i="21"/>
  <c r="H35" i="21"/>
  <c r="I35" i="21"/>
  <c r="J35" i="21"/>
  <c r="K35" i="21"/>
  <c r="L35" i="21"/>
  <c r="M35" i="21"/>
  <c r="N35" i="21"/>
  <c r="O35" i="21"/>
  <c r="P35" i="21"/>
  <c r="Q35" i="21"/>
  <c r="R35" i="21"/>
  <c r="S35" i="21"/>
  <c r="T35" i="21"/>
  <c r="U35" i="21"/>
  <c r="V35" i="21"/>
  <c r="B35" i="21"/>
  <c r="C36" i="21"/>
  <c r="D36" i="21"/>
  <c r="E36" i="21"/>
  <c r="F36" i="21"/>
  <c r="G36" i="21"/>
  <c r="H36" i="21"/>
  <c r="I36" i="21"/>
  <c r="J36" i="21"/>
  <c r="K36" i="21"/>
  <c r="L36" i="21"/>
  <c r="M36" i="21"/>
  <c r="N36" i="21"/>
  <c r="O36" i="21"/>
  <c r="P36" i="21"/>
  <c r="Q36" i="21"/>
  <c r="R36" i="21"/>
  <c r="S36" i="21"/>
  <c r="T36" i="21"/>
  <c r="U36" i="21"/>
  <c r="V36" i="21"/>
  <c r="C37" i="21"/>
  <c r="D37" i="21"/>
  <c r="E37" i="21"/>
  <c r="F37" i="21"/>
  <c r="G37" i="21"/>
  <c r="H37" i="21"/>
  <c r="I37" i="21"/>
  <c r="J37" i="21"/>
  <c r="K37" i="21"/>
  <c r="L37" i="21"/>
  <c r="M37" i="21"/>
  <c r="N37" i="21"/>
  <c r="O37" i="21"/>
  <c r="P37" i="21"/>
  <c r="Q37" i="21"/>
  <c r="R37" i="21"/>
  <c r="S37" i="21"/>
  <c r="T37" i="21"/>
  <c r="U37" i="21"/>
  <c r="V37" i="21"/>
  <c r="C38" i="21"/>
  <c r="D38" i="21"/>
  <c r="E38" i="21"/>
  <c r="F38" i="21"/>
  <c r="G38" i="21"/>
  <c r="H38" i="21"/>
  <c r="I38" i="21"/>
  <c r="J38" i="21"/>
  <c r="K38" i="21"/>
  <c r="L38" i="21"/>
  <c r="M38" i="21"/>
  <c r="N38" i="21"/>
  <c r="O38" i="21"/>
  <c r="P38" i="21"/>
  <c r="Q38" i="21"/>
  <c r="R38" i="21"/>
  <c r="S38" i="21"/>
  <c r="T38" i="21"/>
  <c r="U38" i="21"/>
  <c r="V38" i="21"/>
  <c r="C39" i="21"/>
  <c r="D39" i="21"/>
  <c r="E39" i="21"/>
  <c r="F39" i="21"/>
  <c r="G39" i="21"/>
  <c r="H39" i="21"/>
  <c r="I39" i="21"/>
  <c r="J39" i="21"/>
  <c r="K39" i="21"/>
  <c r="L39" i="21"/>
  <c r="M39" i="21"/>
  <c r="N39" i="21"/>
  <c r="O39" i="21"/>
  <c r="P39" i="21"/>
  <c r="Q39" i="21"/>
  <c r="R39" i="21"/>
  <c r="S39" i="21"/>
  <c r="T39" i="21"/>
  <c r="U39" i="21"/>
  <c r="V39" i="21"/>
  <c r="C40" i="21"/>
  <c r="D40" i="21"/>
  <c r="E40" i="21"/>
  <c r="F40" i="21"/>
  <c r="G40" i="21"/>
  <c r="H40" i="21"/>
  <c r="I40" i="21"/>
  <c r="J40" i="21"/>
  <c r="K40" i="21"/>
  <c r="L40" i="21"/>
  <c r="M40" i="21"/>
  <c r="N40" i="21"/>
  <c r="O40" i="21"/>
  <c r="P40" i="21"/>
  <c r="Q40" i="21"/>
  <c r="R40" i="21"/>
  <c r="S40" i="21"/>
  <c r="T40" i="21"/>
  <c r="U40" i="21"/>
  <c r="V40" i="21"/>
  <c r="C41" i="21"/>
  <c r="D41" i="21"/>
  <c r="E41" i="21"/>
  <c r="F41" i="21"/>
  <c r="G41" i="21"/>
  <c r="H41" i="21"/>
  <c r="I41" i="21"/>
  <c r="J41" i="21"/>
  <c r="K41" i="21"/>
  <c r="L41" i="21"/>
  <c r="M41" i="21"/>
  <c r="N41" i="21"/>
  <c r="O41" i="21"/>
  <c r="P41" i="21"/>
  <c r="Q41" i="21"/>
  <c r="R41" i="21"/>
  <c r="S41" i="21"/>
  <c r="T41" i="21"/>
  <c r="U41" i="21"/>
  <c r="V41" i="21"/>
  <c r="B37" i="21"/>
  <c r="B38" i="21"/>
  <c r="B39" i="21"/>
  <c r="B40" i="21"/>
  <c r="B41" i="21"/>
  <c r="B36" i="21"/>
  <c r="C32" i="21"/>
  <c r="D32" i="21"/>
  <c r="E32" i="21"/>
  <c r="F32" i="21"/>
  <c r="G32" i="21"/>
  <c r="H32" i="21"/>
  <c r="I32" i="21"/>
  <c r="J32" i="21"/>
  <c r="K32" i="21"/>
  <c r="L32" i="21"/>
  <c r="M32" i="21"/>
  <c r="N32" i="21"/>
  <c r="O32" i="21"/>
  <c r="P32" i="21"/>
  <c r="Q32" i="21"/>
  <c r="R32" i="21"/>
  <c r="S32" i="21"/>
  <c r="T32" i="21"/>
  <c r="U32" i="21"/>
  <c r="V32" i="21"/>
  <c r="B32" i="21"/>
  <c r="C33" i="21"/>
  <c r="D33" i="21"/>
  <c r="E33" i="21"/>
  <c r="F33" i="21"/>
  <c r="G33" i="21"/>
  <c r="H33" i="21"/>
  <c r="I33" i="21"/>
  <c r="J33" i="21"/>
  <c r="K33" i="21"/>
  <c r="L33" i="21"/>
  <c r="M33" i="21"/>
  <c r="N33" i="21"/>
  <c r="O33" i="21"/>
  <c r="P33" i="21"/>
  <c r="Q33" i="21"/>
  <c r="R33" i="21"/>
  <c r="S33" i="21"/>
  <c r="T33" i="21"/>
  <c r="U33" i="21"/>
  <c r="V33" i="21"/>
  <c r="C34" i="21"/>
  <c r="D34" i="21"/>
  <c r="E34" i="21"/>
  <c r="F34" i="21"/>
  <c r="G34" i="21"/>
  <c r="H34" i="21"/>
  <c r="I34" i="21"/>
  <c r="J34" i="21"/>
  <c r="K34" i="21"/>
  <c r="L34" i="21"/>
  <c r="M34" i="21"/>
  <c r="N34" i="21"/>
  <c r="O34" i="21"/>
  <c r="P34" i="21"/>
  <c r="Q34" i="21"/>
  <c r="R34" i="21"/>
  <c r="S34" i="21"/>
  <c r="T34" i="21"/>
  <c r="U34" i="21"/>
  <c r="V34" i="21"/>
  <c r="B34" i="21"/>
  <c r="B33" i="21"/>
  <c r="C29" i="21"/>
  <c r="D29" i="21"/>
  <c r="E29" i="21"/>
  <c r="F29" i="21"/>
  <c r="G29" i="21"/>
  <c r="H29" i="21"/>
  <c r="I29" i="21"/>
  <c r="J29" i="21"/>
  <c r="K29" i="21"/>
  <c r="L29" i="21"/>
  <c r="M29" i="21"/>
  <c r="N29" i="21"/>
  <c r="O29" i="21"/>
  <c r="P29" i="21"/>
  <c r="Q29" i="21"/>
  <c r="R29" i="21"/>
  <c r="S29" i="21"/>
  <c r="T29" i="21"/>
  <c r="U29" i="21"/>
  <c r="V29" i="21"/>
  <c r="B29" i="21"/>
  <c r="C30" i="21"/>
  <c r="D30" i="21"/>
  <c r="E30" i="21"/>
  <c r="F30" i="21"/>
  <c r="G30" i="21"/>
  <c r="H30" i="21"/>
  <c r="I30" i="21"/>
  <c r="J30" i="21"/>
  <c r="K30" i="21"/>
  <c r="L30" i="21"/>
  <c r="M30" i="21"/>
  <c r="N30" i="21"/>
  <c r="O30" i="21"/>
  <c r="P30" i="21"/>
  <c r="Q30" i="21"/>
  <c r="R30" i="21"/>
  <c r="S30" i="21"/>
  <c r="T30" i="21"/>
  <c r="U30" i="21"/>
  <c r="V30" i="21"/>
  <c r="C31" i="21"/>
  <c r="D31" i="21"/>
  <c r="E31" i="21"/>
  <c r="F31" i="21"/>
  <c r="G31" i="21"/>
  <c r="H31" i="21"/>
  <c r="I31" i="21"/>
  <c r="J31" i="21"/>
  <c r="K31" i="21"/>
  <c r="L31" i="21"/>
  <c r="M31" i="21"/>
  <c r="N31" i="21"/>
  <c r="O31" i="21"/>
  <c r="P31" i="21"/>
  <c r="Q31" i="21"/>
  <c r="R31" i="21"/>
  <c r="S31" i="21"/>
  <c r="T31" i="21"/>
  <c r="U31" i="21"/>
  <c r="V31" i="21"/>
  <c r="B31" i="21"/>
  <c r="B30" i="21"/>
  <c r="U27" i="21"/>
  <c r="E28" i="21"/>
  <c r="F28" i="21"/>
  <c r="G28" i="21"/>
  <c r="I28" i="21"/>
  <c r="J28" i="21"/>
  <c r="K28" i="21"/>
  <c r="M28" i="21"/>
  <c r="N28" i="21"/>
  <c r="O28" i="21"/>
  <c r="Q28" i="21"/>
  <c r="R28" i="21"/>
  <c r="S28" i="21"/>
  <c r="U28" i="21"/>
  <c r="C22" i="21"/>
  <c r="D22" i="21"/>
  <c r="E22" i="21"/>
  <c r="F22" i="21"/>
  <c r="G22" i="21"/>
  <c r="H22" i="21"/>
  <c r="I22" i="21"/>
  <c r="J22" i="21"/>
  <c r="K22" i="21"/>
  <c r="L22" i="21"/>
  <c r="M22" i="21"/>
  <c r="N22" i="21"/>
  <c r="O22" i="21"/>
  <c r="P22" i="21"/>
  <c r="Q22" i="21"/>
  <c r="R22" i="21"/>
  <c r="S22" i="21"/>
  <c r="T22" i="21"/>
  <c r="U22" i="21"/>
  <c r="V22" i="21"/>
  <c r="B22" i="21"/>
  <c r="C23" i="21"/>
  <c r="D23" i="21"/>
  <c r="E23" i="21"/>
  <c r="F23" i="21"/>
  <c r="G23" i="21"/>
  <c r="H23" i="21"/>
  <c r="I23" i="21"/>
  <c r="J23" i="21"/>
  <c r="K23" i="21"/>
  <c r="L23" i="21"/>
  <c r="M23" i="21"/>
  <c r="N23" i="21"/>
  <c r="O23" i="21"/>
  <c r="P23" i="21"/>
  <c r="Q23" i="21"/>
  <c r="R23" i="21"/>
  <c r="S23" i="21"/>
  <c r="T23" i="21"/>
  <c r="U23" i="21"/>
  <c r="V23" i="21"/>
  <c r="B23" i="21"/>
  <c r="C19" i="21"/>
  <c r="D19" i="21"/>
  <c r="E19" i="21"/>
  <c r="F19" i="21"/>
  <c r="G19" i="21"/>
  <c r="H19" i="21"/>
  <c r="I19" i="21"/>
  <c r="J19" i="21"/>
  <c r="K19" i="21"/>
  <c r="L19" i="21"/>
  <c r="M19" i="21"/>
  <c r="N19" i="21"/>
  <c r="O19" i="21"/>
  <c r="P19" i="21"/>
  <c r="Q19" i="21"/>
  <c r="R19" i="21"/>
  <c r="S19" i="21"/>
  <c r="T19" i="21"/>
  <c r="U19" i="21"/>
  <c r="V19" i="21"/>
  <c r="B19" i="21"/>
  <c r="C20" i="21"/>
  <c r="D20" i="21"/>
  <c r="E20" i="21"/>
  <c r="F20" i="21"/>
  <c r="G20" i="21"/>
  <c r="H20" i="21"/>
  <c r="I20" i="21"/>
  <c r="J20" i="21"/>
  <c r="K20" i="21"/>
  <c r="L20" i="21"/>
  <c r="M20" i="21"/>
  <c r="N20" i="21"/>
  <c r="O20" i="21"/>
  <c r="P20" i="21"/>
  <c r="Q20" i="21"/>
  <c r="R20" i="21"/>
  <c r="S20" i="21"/>
  <c r="T20" i="21"/>
  <c r="U20" i="21"/>
  <c r="V20" i="21"/>
  <c r="C21" i="21"/>
  <c r="D21" i="21"/>
  <c r="E21" i="21"/>
  <c r="F21" i="21"/>
  <c r="G21" i="21"/>
  <c r="H21" i="21"/>
  <c r="I21" i="21"/>
  <c r="J21" i="21"/>
  <c r="K21" i="21"/>
  <c r="L21" i="21"/>
  <c r="M21" i="21"/>
  <c r="N21" i="21"/>
  <c r="O21" i="21"/>
  <c r="P21" i="21"/>
  <c r="Q21" i="21"/>
  <c r="R21" i="21"/>
  <c r="S21" i="21"/>
  <c r="T21" i="21"/>
  <c r="U21" i="21"/>
  <c r="V21" i="21"/>
  <c r="B21" i="21"/>
  <c r="B9" i="21"/>
  <c r="C12" i="21"/>
  <c r="D12" i="21"/>
  <c r="E12" i="21"/>
  <c r="F12" i="21"/>
  <c r="G12" i="21"/>
  <c r="H12" i="21"/>
  <c r="I12" i="21"/>
  <c r="J12" i="21"/>
  <c r="K12" i="21"/>
  <c r="L12" i="21"/>
  <c r="M12" i="21"/>
  <c r="N12" i="21"/>
  <c r="O12" i="21"/>
  <c r="P12" i="21"/>
  <c r="Q12" i="21"/>
  <c r="R12" i="21"/>
  <c r="S12" i="21"/>
  <c r="T12" i="21"/>
  <c r="U12" i="21"/>
  <c r="V12" i="21"/>
  <c r="B12" i="21"/>
  <c r="C11" i="21"/>
  <c r="D11" i="21"/>
  <c r="E11" i="21"/>
  <c r="F11" i="21"/>
  <c r="G11" i="21"/>
  <c r="H11" i="21"/>
  <c r="I11" i="21"/>
  <c r="J11" i="21"/>
  <c r="K11" i="21"/>
  <c r="L11" i="21"/>
  <c r="M11" i="21"/>
  <c r="N11" i="21"/>
  <c r="O11" i="21"/>
  <c r="P11" i="21"/>
  <c r="Q11" i="21"/>
  <c r="R11" i="21"/>
  <c r="S11" i="21"/>
  <c r="T11" i="21"/>
  <c r="U11" i="21"/>
  <c r="V11" i="21"/>
  <c r="B11" i="21"/>
  <c r="B10" i="21"/>
  <c r="C8" i="21"/>
  <c r="D8" i="21"/>
  <c r="E8" i="21"/>
  <c r="F8" i="21"/>
  <c r="G8" i="21"/>
  <c r="H8" i="21"/>
  <c r="I8" i="21"/>
  <c r="J8" i="21"/>
  <c r="K8" i="21"/>
  <c r="L8" i="21"/>
  <c r="M8" i="21"/>
  <c r="N8" i="21"/>
  <c r="O8" i="21"/>
  <c r="P8" i="21"/>
  <c r="Q8" i="21"/>
  <c r="R8" i="21"/>
  <c r="S8" i="21"/>
  <c r="T8" i="21"/>
  <c r="U8" i="21"/>
  <c r="V8" i="21"/>
  <c r="B8" i="21"/>
  <c r="C7" i="21"/>
  <c r="D7" i="21"/>
  <c r="E7" i="21"/>
  <c r="F7" i="21"/>
  <c r="G7" i="21"/>
  <c r="H7" i="21"/>
  <c r="I7" i="21"/>
  <c r="J7" i="21"/>
  <c r="K7" i="21"/>
  <c r="L7" i="21"/>
  <c r="M7" i="21"/>
  <c r="N7" i="21"/>
  <c r="O7" i="21"/>
  <c r="P7" i="21"/>
  <c r="Q7" i="21"/>
  <c r="R7" i="21"/>
  <c r="S7" i="21"/>
  <c r="T7" i="21"/>
  <c r="U7" i="21"/>
  <c r="V7" i="21"/>
  <c r="B7" i="21"/>
  <c r="A41" i="21"/>
  <c r="A40" i="21"/>
  <c r="A39" i="21"/>
  <c r="A38" i="21"/>
  <c r="A37" i="21"/>
  <c r="A36" i="21"/>
  <c r="A35" i="21"/>
  <c r="A34" i="21"/>
  <c r="A33" i="21"/>
  <c r="A32" i="21"/>
  <c r="A31" i="21"/>
  <c r="A30" i="21"/>
  <c r="A29" i="21"/>
  <c r="A28" i="21"/>
  <c r="A27" i="21"/>
  <c r="A26" i="21"/>
  <c r="A25" i="21"/>
  <c r="A24" i="21"/>
  <c r="A23" i="21"/>
  <c r="A22" i="21"/>
  <c r="A23" i="14" s="1"/>
  <c r="A22" i="36" s="1"/>
  <c r="A21" i="21"/>
  <c r="A20" i="21"/>
  <c r="A19" i="21"/>
  <c r="A18" i="21"/>
  <c r="A17" i="21"/>
  <c r="A16" i="21"/>
  <c r="A15" i="21"/>
  <c r="A14" i="21"/>
  <c r="A13" i="21"/>
  <c r="A12" i="21"/>
  <c r="A11" i="21"/>
  <c r="A10" i="21"/>
  <c r="A9" i="21"/>
  <c r="A8" i="21"/>
  <c r="A7" i="21"/>
  <c r="A6" i="21"/>
  <c r="J150" i="30"/>
  <c r="I150" i="30"/>
  <c r="J145" i="30"/>
  <c r="I145" i="30"/>
  <c r="J141" i="30"/>
  <c r="I141" i="30"/>
  <c r="J134" i="30"/>
  <c r="I134" i="30"/>
  <c r="I53" i="30"/>
  <c r="J28" i="30"/>
  <c r="I28" i="30"/>
  <c r="J21" i="30"/>
  <c r="I21" i="30"/>
  <c r="I14" i="30"/>
  <c r="B156" i="20"/>
  <c r="B157" i="20"/>
  <c r="B158" i="20"/>
  <c r="B159" i="20"/>
  <c r="B160" i="20"/>
  <c r="B155" i="20"/>
  <c r="B135" i="20"/>
  <c r="B136" i="20"/>
  <c r="B137" i="20"/>
  <c r="B138" i="20"/>
  <c r="B134" i="20"/>
  <c r="B112" i="20"/>
  <c r="B113" i="20"/>
  <c r="B114" i="20"/>
  <c r="B111" i="20"/>
  <c r="B110" i="20"/>
  <c r="B86" i="20"/>
  <c r="B81" i="20"/>
  <c r="B82" i="20"/>
  <c r="B83" i="20"/>
  <c r="B84" i="20"/>
  <c r="B85" i="20"/>
  <c r="B80" i="20"/>
  <c r="B78" i="20"/>
  <c r="B55" i="20"/>
  <c r="B56" i="20"/>
  <c r="B57" i="20"/>
  <c r="B58" i="20"/>
  <c r="B59" i="20"/>
  <c r="B60" i="20"/>
  <c r="B61" i="20"/>
  <c r="B54" i="20"/>
  <c r="B20" i="20"/>
  <c r="B21" i="20"/>
  <c r="B22" i="20"/>
  <c r="B23" i="20"/>
  <c r="B24" i="20"/>
  <c r="B25" i="20"/>
  <c r="B26" i="20"/>
  <c r="B19" i="20"/>
  <c r="B13" i="20"/>
  <c r="B12" i="20"/>
  <c r="B11" i="20"/>
  <c r="B10" i="20"/>
  <c r="B9" i="20"/>
  <c r="B8" i="20"/>
  <c r="B4" i="20"/>
  <c r="B20" i="25"/>
  <c r="B152" i="23"/>
  <c r="B147" i="23"/>
  <c r="B148" i="23"/>
  <c r="B149" i="23"/>
  <c r="B150" i="23"/>
  <c r="B151" i="23"/>
  <c r="B146" i="23"/>
  <c r="B11" i="23"/>
  <c r="B99" i="35"/>
  <c r="B100" i="35"/>
  <c r="B101" i="35"/>
  <c r="B102" i="35"/>
  <c r="B103" i="35"/>
  <c r="B104" i="35"/>
  <c r="B98" i="35"/>
  <c r="B56" i="35"/>
  <c r="B57" i="35"/>
  <c r="B58" i="35"/>
  <c r="B59" i="35"/>
  <c r="B60" i="35"/>
  <c r="B61" i="35"/>
  <c r="B55" i="35"/>
  <c r="B14" i="35"/>
  <c r="B10" i="35"/>
  <c r="B97" i="35" s="1"/>
  <c r="B9" i="35"/>
  <c r="B54" i="35" s="1"/>
  <c r="B8" i="35"/>
  <c r="H44" i="35"/>
  <c r="H43" i="35"/>
  <c r="H42" i="35"/>
  <c r="H41" i="35"/>
  <c r="H40" i="35"/>
  <c r="C39" i="35"/>
  <c r="H39" i="35" s="1"/>
  <c r="C38" i="35"/>
  <c r="H38" i="35" s="1"/>
  <c r="C37" i="35"/>
  <c r="H37" i="35" s="1"/>
  <c r="C36" i="35"/>
  <c r="H36" i="35" s="1"/>
  <c r="C35" i="35"/>
  <c r="H35" i="35" s="1"/>
  <c r="C34" i="35"/>
  <c r="H34" i="35" s="1"/>
  <c r="C33" i="35"/>
  <c r="H33" i="35" s="1"/>
  <c r="H32" i="35"/>
  <c r="C31" i="35"/>
  <c r="H31" i="35" s="1"/>
  <c r="C30" i="35"/>
  <c r="H30" i="35" s="1"/>
  <c r="H29" i="35"/>
  <c r="H28" i="35"/>
  <c r="H27" i="35"/>
  <c r="B17" i="35"/>
  <c r="B18" i="35"/>
  <c r="B19" i="35"/>
  <c r="B20" i="35"/>
  <c r="B21" i="35"/>
  <c r="B22" i="35"/>
  <c r="B16" i="35"/>
  <c r="B4" i="35"/>
  <c r="H115" i="35"/>
  <c r="H114" i="35"/>
  <c r="H113" i="35"/>
  <c r="H112" i="35"/>
  <c r="H111" i="35"/>
  <c r="H110" i="35"/>
  <c r="H109" i="35"/>
  <c r="H108" i="35"/>
  <c r="AB94" i="35"/>
  <c r="AB93" i="35"/>
  <c r="AB92" i="35"/>
  <c r="AB91" i="35"/>
  <c r="AB90" i="35"/>
  <c r="AB89" i="35"/>
  <c r="H86" i="35"/>
  <c r="H85" i="35"/>
  <c r="H84" i="35"/>
  <c r="C83" i="35"/>
  <c r="H83" i="35" s="1"/>
  <c r="H82" i="35"/>
  <c r="H81" i="35"/>
  <c r="E80" i="35"/>
  <c r="H80" i="35" s="1"/>
  <c r="H79" i="35"/>
  <c r="H78" i="35"/>
  <c r="H77" i="35"/>
  <c r="H76" i="35"/>
  <c r="H75" i="35"/>
  <c r="H74" i="35"/>
  <c r="H73" i="35"/>
  <c r="H72" i="35"/>
  <c r="H71" i="35"/>
  <c r="H70" i="35"/>
  <c r="H69" i="35"/>
  <c r="H68" i="35"/>
  <c r="H67" i="35"/>
  <c r="H66" i="35"/>
  <c r="D297" i="32"/>
  <c r="C297" i="32"/>
  <c r="H7" i="36" l="1"/>
  <c r="H6" i="36" s="1"/>
  <c r="F20" i="36"/>
  <c r="P20" i="36" s="1"/>
  <c r="P19" i="36" s="1"/>
  <c r="G31" i="36"/>
  <c r="G29" i="36" s="1"/>
  <c r="D29" i="36" s="1"/>
  <c r="F36" i="36"/>
  <c r="P36" i="36" s="1"/>
  <c r="F8" i="36"/>
  <c r="F6" i="36" s="1"/>
  <c r="G20" i="36"/>
  <c r="G19" i="36" s="1"/>
  <c r="D19" i="36" s="1"/>
  <c r="F31" i="36"/>
  <c r="M31" i="36" s="1"/>
  <c r="H36" i="36"/>
  <c r="G8" i="36"/>
  <c r="F37" i="36"/>
  <c r="H21" i="36"/>
  <c r="H19" i="36" s="1"/>
  <c r="E19" i="36" s="1"/>
  <c r="F33" i="36"/>
  <c r="M33" i="36" s="1"/>
  <c r="F11" i="36"/>
  <c r="P11" i="36" s="1"/>
  <c r="H38" i="36"/>
  <c r="G7" i="36"/>
  <c r="H30" i="36"/>
  <c r="H29" i="36" s="1"/>
  <c r="F38" i="36"/>
  <c r="P38" i="36" s="1"/>
  <c r="N33" i="36"/>
  <c r="M7" i="36"/>
  <c r="M36" i="36"/>
  <c r="O7" i="36"/>
  <c r="N31" i="36"/>
  <c r="O31" i="36"/>
  <c r="N20" i="36"/>
  <c r="P23" i="36"/>
  <c r="P22" i="36" s="1"/>
  <c r="O23" i="36"/>
  <c r="O22" i="36" s="1"/>
  <c r="N23" i="36"/>
  <c r="N22" i="36" s="1"/>
  <c r="M23" i="36"/>
  <c r="M22" i="36" s="1"/>
  <c r="F22" i="36"/>
  <c r="C22" i="36" s="1"/>
  <c r="P37" i="36"/>
  <c r="O37" i="36"/>
  <c r="N37" i="36"/>
  <c r="M37" i="36"/>
  <c r="P39" i="36"/>
  <c r="O39" i="36"/>
  <c r="N39" i="36"/>
  <c r="M39" i="36"/>
  <c r="H32" i="36"/>
  <c r="E32" i="36" s="1"/>
  <c r="O8" i="36"/>
  <c r="N7" i="36"/>
  <c r="G12" i="36"/>
  <c r="G23" i="36"/>
  <c r="G22" i="36" s="1"/>
  <c r="D22" i="36" s="1"/>
  <c r="P31" i="36"/>
  <c r="P33" i="36"/>
  <c r="N36" i="36"/>
  <c r="G39" i="36"/>
  <c r="F40" i="36"/>
  <c r="F12" i="36"/>
  <c r="M21" i="36"/>
  <c r="H23" i="36"/>
  <c r="H22" i="36" s="1"/>
  <c r="E22" i="36" s="1"/>
  <c r="F30" i="36"/>
  <c r="O36" i="36"/>
  <c r="M38" i="36"/>
  <c r="H39" i="36"/>
  <c r="G40" i="36"/>
  <c r="F41" i="36"/>
  <c r="N21" i="36"/>
  <c r="N38" i="36"/>
  <c r="G41" i="36"/>
  <c r="O21" i="36"/>
  <c r="F34" i="36"/>
  <c r="O38" i="36"/>
  <c r="G34" i="36"/>
  <c r="G32" i="36" s="1"/>
  <c r="D32" i="36" s="1"/>
  <c r="H47" i="35"/>
  <c r="H88" i="35"/>
  <c r="O9" i="35" s="1"/>
  <c r="H116" i="35"/>
  <c r="F10" i="35" s="1"/>
  <c r="G10" i="35" s="1"/>
  <c r="H10" i="35" s="1"/>
  <c r="I10" i="35" s="1"/>
  <c r="J10" i="35" s="1"/>
  <c r="K10" i="35" s="1"/>
  <c r="L10" i="35" s="1"/>
  <c r="M10" i="35" s="1"/>
  <c r="N10" i="35" s="1"/>
  <c r="O10" i="35" s="1"/>
  <c r="P10" i="35" s="1"/>
  <c r="Q10" i="35" s="1"/>
  <c r="R10" i="35" s="1"/>
  <c r="S10" i="35" s="1"/>
  <c r="T10" i="35" s="1"/>
  <c r="U10" i="35" s="1"/>
  <c r="V10" i="35" s="1"/>
  <c r="W10" i="35" s="1"/>
  <c r="X10" i="35" s="1"/>
  <c r="C286" i="32"/>
  <c r="C285" i="32"/>
  <c r="C284" i="32"/>
  <c r="C277" i="32"/>
  <c r="C279" i="32" s="1"/>
  <c r="C280" i="32" s="1"/>
  <c r="M8" i="36" l="1"/>
  <c r="M6" i="36" s="1"/>
  <c r="I6" i="36" s="1"/>
  <c r="O20" i="36"/>
  <c r="N11" i="36"/>
  <c r="N8" i="36"/>
  <c r="O33" i="36"/>
  <c r="M11" i="36"/>
  <c r="M20" i="36"/>
  <c r="M19" i="36" s="1"/>
  <c r="I19" i="36" s="1"/>
  <c r="P8" i="36"/>
  <c r="P6" i="36" s="1"/>
  <c r="O6" i="36"/>
  <c r="O11" i="36"/>
  <c r="H35" i="36"/>
  <c r="E35" i="36" s="1"/>
  <c r="F19" i="36"/>
  <c r="C19" i="36" s="1"/>
  <c r="G6" i="36"/>
  <c r="C288" i="32"/>
  <c r="C289" i="32" s="1"/>
  <c r="N19" i="36"/>
  <c r="G35" i="36"/>
  <c r="D35" i="36" s="1"/>
  <c r="J19" i="36"/>
  <c r="F35" i="36"/>
  <c r="C35" i="36" s="1"/>
  <c r="J22" i="36"/>
  <c r="N41" i="36"/>
  <c r="M41" i="36"/>
  <c r="O41" i="36"/>
  <c r="P41" i="36"/>
  <c r="N6" i="36"/>
  <c r="M34" i="36"/>
  <c r="M32" i="36" s="1"/>
  <c r="N34" i="36"/>
  <c r="N32" i="36" s="1"/>
  <c r="P34" i="36"/>
  <c r="P32" i="36" s="1"/>
  <c r="O34" i="36"/>
  <c r="F32" i="36"/>
  <c r="C32" i="36" s="1"/>
  <c r="I22" i="36"/>
  <c r="O35" i="36"/>
  <c r="P12" i="36"/>
  <c r="O12" i="36"/>
  <c r="N12" i="36"/>
  <c r="M12" i="36"/>
  <c r="K6" i="36"/>
  <c r="L6" i="36"/>
  <c r="O19" i="36"/>
  <c r="N30" i="36"/>
  <c r="N29" i="36" s="1"/>
  <c r="O30" i="36"/>
  <c r="O29" i="36" s="1"/>
  <c r="M30" i="36"/>
  <c r="M29" i="36" s="1"/>
  <c r="F29" i="36"/>
  <c r="C29" i="36" s="1"/>
  <c r="P30" i="36"/>
  <c r="P29" i="36" s="1"/>
  <c r="O40" i="36"/>
  <c r="N40" i="36"/>
  <c r="M40" i="36"/>
  <c r="P40" i="36"/>
  <c r="P35" i="36" s="1"/>
  <c r="K22" i="36"/>
  <c r="L22" i="36"/>
  <c r="I47" i="35"/>
  <c r="E8" i="35" s="1"/>
  <c r="I116" i="35"/>
  <c r="E10" i="35" s="1"/>
  <c r="Y10" i="35" s="1"/>
  <c r="U9" i="35"/>
  <c r="W9" i="35"/>
  <c r="V9" i="35"/>
  <c r="P9" i="35"/>
  <c r="S9" i="35"/>
  <c r="F9" i="35"/>
  <c r="I9" i="35"/>
  <c r="N9" i="35"/>
  <c r="Q9" i="35"/>
  <c r="H9" i="35"/>
  <c r="X9" i="35"/>
  <c r="R9" i="35"/>
  <c r="K9" i="35"/>
  <c r="J9" i="35"/>
  <c r="L9" i="35"/>
  <c r="T9" i="35"/>
  <c r="G9" i="35"/>
  <c r="I87" i="35"/>
  <c r="M9" i="35"/>
  <c r="D732" i="32"/>
  <c r="D733" i="32" s="1"/>
  <c r="B542" i="32"/>
  <c r="C542" i="32" s="1"/>
  <c r="D542" i="32" s="1"/>
  <c r="E542" i="32" s="1"/>
  <c r="C541" i="32"/>
  <c r="D541" i="32" s="1"/>
  <c r="E541" i="32" s="1"/>
  <c r="C726" i="32"/>
  <c r="C725" i="32"/>
  <c r="C724" i="32"/>
  <c r="C723" i="32"/>
  <c r="C704" i="32"/>
  <c r="C701" i="32"/>
  <c r="D677" i="32"/>
  <c r="F677" i="32" s="1"/>
  <c r="H677" i="32" s="1"/>
  <c r="D676" i="32"/>
  <c r="F676" i="32" s="1"/>
  <c r="H676" i="32" s="1"/>
  <c r="D675" i="32"/>
  <c r="F675" i="32" s="1"/>
  <c r="H675" i="32" s="1"/>
  <c r="C683" i="32"/>
  <c r="C661" i="32"/>
  <c r="C652" i="32"/>
  <c r="D654" i="32" s="1"/>
  <c r="F654" i="32" s="1"/>
  <c r="H654" i="32" s="1"/>
  <c r="F649" i="32"/>
  <c r="K633" i="32" s="1"/>
  <c r="L633" i="32" s="1"/>
  <c r="E649" i="32"/>
  <c r="K632" i="32" s="1"/>
  <c r="L632" i="32" s="1"/>
  <c r="D649" i="32"/>
  <c r="K631" i="32" s="1"/>
  <c r="L631" i="32" s="1"/>
  <c r="C649" i="32"/>
  <c r="K630" i="32" s="1"/>
  <c r="L630" i="32" s="1"/>
  <c r="I633" i="32"/>
  <c r="J633" i="32" s="1"/>
  <c r="I632" i="32"/>
  <c r="J632" i="32" s="1"/>
  <c r="I631" i="32"/>
  <c r="J631" i="32" s="1"/>
  <c r="I630" i="32"/>
  <c r="J630" i="32" s="1"/>
  <c r="C612" i="32"/>
  <c r="C605" i="32"/>
  <c r="C587" i="32" s="1"/>
  <c r="U580" i="32"/>
  <c r="U582" i="32" s="1"/>
  <c r="U585" i="32" s="1"/>
  <c r="T580" i="32"/>
  <c r="T582" i="32" s="1"/>
  <c r="T585" i="32" s="1"/>
  <c r="S580" i="32"/>
  <c r="S582" i="32" s="1"/>
  <c r="S585" i="32" s="1"/>
  <c r="R580" i="32"/>
  <c r="Q580" i="32"/>
  <c r="P580" i="32"/>
  <c r="O580" i="32"/>
  <c r="N580" i="32"/>
  <c r="N582" i="32" s="1"/>
  <c r="N585" i="32" s="1"/>
  <c r="M580" i="32"/>
  <c r="M582" i="32" s="1"/>
  <c r="M585" i="32" s="1"/>
  <c r="L580" i="32"/>
  <c r="L582" i="32" s="1"/>
  <c r="L585" i="32" s="1"/>
  <c r="K580" i="32"/>
  <c r="K582" i="32" s="1"/>
  <c r="K585" i="32" s="1"/>
  <c r="J580" i="32"/>
  <c r="J582" i="32" s="1"/>
  <c r="J585" i="32" s="1"/>
  <c r="I580" i="32"/>
  <c r="H580" i="32"/>
  <c r="H582" i="32" s="1"/>
  <c r="G580" i="32"/>
  <c r="F580" i="32"/>
  <c r="F582" i="32" s="1"/>
  <c r="F585" i="32" s="1"/>
  <c r="E580" i="32"/>
  <c r="E582" i="32" s="1"/>
  <c r="E585" i="32" s="1"/>
  <c r="D580" i="32"/>
  <c r="C580" i="32"/>
  <c r="C582" i="32" s="1"/>
  <c r="C585" i="32" s="1"/>
  <c r="V573" i="32"/>
  <c r="U570" i="32"/>
  <c r="U572" i="32" s="1"/>
  <c r="U576" i="32" s="1"/>
  <c r="T570" i="32"/>
  <c r="T572" i="32" s="1"/>
  <c r="T576" i="32" s="1"/>
  <c r="S570" i="32"/>
  <c r="S572" i="32" s="1"/>
  <c r="S576" i="32" s="1"/>
  <c r="R570" i="32"/>
  <c r="R572" i="32" s="1"/>
  <c r="R576" i="32" s="1"/>
  <c r="Q570" i="32"/>
  <c r="Q572" i="32" s="1"/>
  <c r="Q576" i="32" s="1"/>
  <c r="P570" i="32"/>
  <c r="P572" i="32" s="1"/>
  <c r="P576" i="32" s="1"/>
  <c r="O570" i="32"/>
  <c r="O572" i="32" s="1"/>
  <c r="O576" i="32" s="1"/>
  <c r="N570" i="32"/>
  <c r="N572" i="32" s="1"/>
  <c r="N576" i="32" s="1"/>
  <c r="M570" i="32"/>
  <c r="M572" i="32" s="1"/>
  <c r="L570" i="32"/>
  <c r="L572" i="32" s="1"/>
  <c r="L575" i="32" s="1"/>
  <c r="K570" i="32"/>
  <c r="K572" i="32" s="1"/>
  <c r="K575" i="32" s="1"/>
  <c r="J570" i="32"/>
  <c r="J572" i="32" s="1"/>
  <c r="J575" i="32" s="1"/>
  <c r="I570" i="32"/>
  <c r="I572" i="32" s="1"/>
  <c r="I575" i="32" s="1"/>
  <c r="H570" i="32"/>
  <c r="H572" i="32" s="1"/>
  <c r="H575" i="32" s="1"/>
  <c r="G570" i="32"/>
  <c r="G572" i="32" s="1"/>
  <c r="G575" i="32" s="1"/>
  <c r="F570" i="32"/>
  <c r="F572" i="32" s="1"/>
  <c r="F575" i="32" s="1"/>
  <c r="E570" i="32"/>
  <c r="E572" i="32" s="1"/>
  <c r="E575" i="32" s="1"/>
  <c r="D570" i="32"/>
  <c r="D572" i="32" s="1"/>
  <c r="D575" i="32" s="1"/>
  <c r="C570" i="32"/>
  <c r="C572" i="32" s="1"/>
  <c r="C575" i="32" s="1"/>
  <c r="V566" i="32"/>
  <c r="V580" i="32" s="1"/>
  <c r="D565" i="32"/>
  <c r="E565" i="32" s="1"/>
  <c r="D536" i="32"/>
  <c r="F536" i="32" s="1"/>
  <c r="H536" i="32" s="1"/>
  <c r="D535" i="32"/>
  <c r="F535" i="32" s="1"/>
  <c r="H535" i="32" s="1"/>
  <c r="D534" i="32"/>
  <c r="F534" i="32" s="1"/>
  <c r="H534" i="32" s="1"/>
  <c r="G525" i="32"/>
  <c r="G527" i="32" s="1"/>
  <c r="F525" i="32"/>
  <c r="F527" i="32" s="1"/>
  <c r="E525" i="32"/>
  <c r="E527" i="32" s="1"/>
  <c r="D525" i="32"/>
  <c r="D527" i="32" s="1"/>
  <c r="C525" i="32"/>
  <c r="C527" i="32" s="1"/>
  <c r="B522" i="32"/>
  <c r="D520" i="32"/>
  <c r="E520" i="32" s="1"/>
  <c r="F520" i="32" s="1"/>
  <c r="G520" i="32" s="1"/>
  <c r="C519" i="32"/>
  <c r="C521" i="32" s="1"/>
  <c r="C510" i="32"/>
  <c r="C509" i="32"/>
  <c r="C482" i="32"/>
  <c r="D471" i="32"/>
  <c r="D469" i="32"/>
  <c r="D466" i="32"/>
  <c r="D467" i="32" s="1"/>
  <c r="C456" i="32"/>
  <c r="C451" i="32"/>
  <c r="C450" i="32"/>
  <c r="C449" i="32"/>
  <c r="C445" i="32"/>
  <c r="C421" i="32" s="1"/>
  <c r="C433" i="32"/>
  <c r="C432" i="32"/>
  <c r="C430" i="32"/>
  <c r="C428" i="32"/>
  <c r="C423" i="32"/>
  <c r="B423" i="32"/>
  <c r="B422" i="32"/>
  <c r="B421" i="32"/>
  <c r="B420" i="32"/>
  <c r="E415" i="32"/>
  <c r="E407" i="32"/>
  <c r="E401" i="32"/>
  <c r="E388" i="32"/>
  <c r="E385" i="32"/>
  <c r="E383" i="32"/>
  <c r="E382" i="32"/>
  <c r="E376" i="32"/>
  <c r="D375" i="32"/>
  <c r="E375" i="32" s="1"/>
  <c r="D374" i="32"/>
  <c r="E374" i="32" s="1"/>
  <c r="E371" i="32"/>
  <c r="E370" i="32"/>
  <c r="E362" i="32"/>
  <c r="E360" i="32"/>
  <c r="E359" i="32"/>
  <c r="E353" i="32"/>
  <c r="D352" i="32"/>
  <c r="E352" i="32" s="1"/>
  <c r="E350" i="32"/>
  <c r="D349" i="32"/>
  <c r="E349" i="32" s="1"/>
  <c r="C331" i="32"/>
  <c r="C303" i="32" s="1"/>
  <c r="D406" i="32" s="1"/>
  <c r="E406" i="32" s="1"/>
  <c r="C323" i="32"/>
  <c r="C302" i="32" s="1"/>
  <c r="B315" i="32"/>
  <c r="B314" i="32"/>
  <c r="C313" i="32"/>
  <c r="C312" i="32"/>
  <c r="C308" i="32"/>
  <c r="C307" i="32"/>
  <c r="D363" i="32" s="1"/>
  <c r="E363" i="32" s="1"/>
  <c r="C305" i="32"/>
  <c r="D387" i="32" s="1"/>
  <c r="E387" i="32" s="1"/>
  <c r="C304" i="32"/>
  <c r="D354" i="32" s="1"/>
  <c r="E354" i="32" s="1"/>
  <c r="C686" i="32"/>
  <c r="C271" i="32"/>
  <c r="C269" i="32"/>
  <c r="C268" i="32"/>
  <c r="C267" i="32"/>
  <c r="C263" i="32"/>
  <c r="C262" i="32"/>
  <c r="C261" i="32"/>
  <c r="C260" i="32"/>
  <c r="C259" i="32"/>
  <c r="C253" i="32"/>
  <c r="C250" i="32"/>
  <c r="C249" i="32"/>
  <c r="C248" i="32"/>
  <c r="C244" i="32"/>
  <c r="C236" i="32"/>
  <c r="C235" i="32"/>
  <c r="C234" i="32"/>
  <c r="C227" i="32"/>
  <c r="C229" i="32" s="1"/>
  <c r="C216" i="32" s="1"/>
  <c r="C220" i="32" s="1"/>
  <c r="C222" i="32"/>
  <c r="B219" i="32"/>
  <c r="B218" i="32"/>
  <c r="B217" i="32"/>
  <c r="C212" i="32"/>
  <c r="C174" i="32"/>
  <c r="C119" i="32"/>
  <c r="C123" i="32" s="1"/>
  <c r="F540" i="32" s="1"/>
  <c r="C107" i="32"/>
  <c r="C112" i="32" s="1"/>
  <c r="C106" i="32"/>
  <c r="D102" i="32"/>
  <c r="C113" i="32" s="1"/>
  <c r="D100" i="32"/>
  <c r="D99" i="32"/>
  <c r="C91" i="32"/>
  <c r="E65" i="32"/>
  <c r="E64" i="32"/>
  <c r="E63" i="32"/>
  <c r="E62" i="32"/>
  <c r="E61" i="32"/>
  <c r="E60" i="32"/>
  <c r="E59" i="32"/>
  <c r="E58" i="32"/>
  <c r="E57" i="32"/>
  <c r="E56" i="32"/>
  <c r="E55" i="32"/>
  <c r="E54" i="32"/>
  <c r="E53" i="32"/>
  <c r="E52" i="32"/>
  <c r="E51" i="32"/>
  <c r="E50" i="32"/>
  <c r="E49" i="32"/>
  <c r="E48" i="32"/>
  <c r="E47" i="32"/>
  <c r="E46" i="32"/>
  <c r="E45" i="32"/>
  <c r="E44" i="32"/>
  <c r="E43" i="32"/>
  <c r="E42" i="32"/>
  <c r="L35" i="36" l="1"/>
  <c r="K35" i="36"/>
  <c r="K19" i="36"/>
  <c r="L19" i="36"/>
  <c r="O32" i="36"/>
  <c r="K32" i="36" s="1"/>
  <c r="N35" i="36"/>
  <c r="J35" i="36" s="1"/>
  <c r="M35" i="36"/>
  <c r="I35" i="36" s="1"/>
  <c r="K29" i="36"/>
  <c r="J6" i="36"/>
  <c r="J32" i="36"/>
  <c r="I32" i="36"/>
  <c r="I29" i="36"/>
  <c r="N593" i="32"/>
  <c r="E9" i="35"/>
  <c r="Y9" i="35" s="1"/>
  <c r="E408" i="32"/>
  <c r="C315" i="32" s="1"/>
  <c r="D101" i="32"/>
  <c r="C522" i="32"/>
  <c r="C524" i="32" s="1"/>
  <c r="C274" i="32"/>
  <c r="C437" i="32"/>
  <c r="C420" i="32" s="1"/>
  <c r="C511" i="32"/>
  <c r="C238" i="32"/>
  <c r="C217" i="32" s="1"/>
  <c r="C221" i="32" s="1"/>
  <c r="D386" i="32"/>
  <c r="E386" i="32" s="1"/>
  <c r="S593" i="32"/>
  <c r="E590" i="32"/>
  <c r="M593" i="32"/>
  <c r="U593" i="32"/>
  <c r="C452" i="32"/>
  <c r="C422" i="32" s="1"/>
  <c r="T593" i="32"/>
  <c r="C114" i="32"/>
  <c r="E568" i="32"/>
  <c r="U568" i="32"/>
  <c r="M631" i="32"/>
  <c r="F541" i="32"/>
  <c r="G541" i="32" s="1"/>
  <c r="I50" i="35" s="1"/>
  <c r="I51" i="35" s="1"/>
  <c r="F8" i="35" s="1"/>
  <c r="C10" i="21" s="1"/>
  <c r="C496" i="32"/>
  <c r="J568" i="32"/>
  <c r="L583" i="32"/>
  <c r="L586" i="32" s="1"/>
  <c r="L592" i="32" s="1"/>
  <c r="W576" i="32"/>
  <c r="M632" i="32"/>
  <c r="B543" i="32"/>
  <c r="C543" i="32" s="1"/>
  <c r="D543" i="32" s="1"/>
  <c r="E543" i="32" s="1"/>
  <c r="F543" i="32" s="1"/>
  <c r="G543" i="32" s="1"/>
  <c r="K50" i="35" s="1"/>
  <c r="K51" i="35" s="1"/>
  <c r="H8" i="35" s="1"/>
  <c r="C568" i="32"/>
  <c r="K568" i="32"/>
  <c r="C264" i="32"/>
  <c r="C219" i="32" s="1"/>
  <c r="L568" i="32"/>
  <c r="C583" i="32"/>
  <c r="C586" i="32" s="1"/>
  <c r="C592" i="32" s="1"/>
  <c r="S583" i="32"/>
  <c r="S586" i="32" s="1"/>
  <c r="S594" i="32" s="1"/>
  <c r="C458" i="32"/>
  <c r="M568" i="32"/>
  <c r="V575" i="32"/>
  <c r="R568" i="32"/>
  <c r="E583" i="32"/>
  <c r="E586" i="32" s="1"/>
  <c r="E592" i="32" s="1"/>
  <c r="U583" i="32"/>
  <c r="U586" i="32" s="1"/>
  <c r="U594" i="32" s="1"/>
  <c r="S568" i="32"/>
  <c r="C727" i="32"/>
  <c r="C728" i="32" s="1"/>
  <c r="D568" i="32"/>
  <c r="T568" i="32"/>
  <c r="D582" i="32"/>
  <c r="D585" i="32" s="1"/>
  <c r="D590" i="32" s="1"/>
  <c r="J591" i="32"/>
  <c r="J590" i="32"/>
  <c r="D372" i="32"/>
  <c r="E372" i="32" s="1"/>
  <c r="E377" i="32" s="1"/>
  <c r="C311" i="32" s="1"/>
  <c r="D351" i="32"/>
  <c r="H585" i="32"/>
  <c r="H583" i="32"/>
  <c r="H586" i="32" s="1"/>
  <c r="H592" i="32" s="1"/>
  <c r="W575" i="32"/>
  <c r="K591" i="32"/>
  <c r="K590" i="32"/>
  <c r="C591" i="32"/>
  <c r="C590" i="32"/>
  <c r="D384" i="32"/>
  <c r="E384" i="32" s="1"/>
  <c r="C457" i="32"/>
  <c r="C495" i="32"/>
  <c r="D519" i="32"/>
  <c r="M576" i="32"/>
  <c r="V576" i="32" s="1"/>
  <c r="L591" i="32"/>
  <c r="L590" i="32"/>
  <c r="J583" i="32"/>
  <c r="J586" i="32" s="1"/>
  <c r="J592" i="32" s="1"/>
  <c r="D364" i="32"/>
  <c r="E364" i="32" s="1"/>
  <c r="K583" i="32"/>
  <c r="K586" i="32" s="1"/>
  <c r="K592" i="32" s="1"/>
  <c r="C497" i="32"/>
  <c r="F565" i="32"/>
  <c r="F590" i="32"/>
  <c r="F591" i="32"/>
  <c r="C498" i="32"/>
  <c r="F568" i="32"/>
  <c r="N568" i="32"/>
  <c r="G582" i="32"/>
  <c r="G585" i="32" s="1"/>
  <c r="O582" i="32"/>
  <c r="O585" i="32" s="1"/>
  <c r="O593" i="32" s="1"/>
  <c r="M583" i="32"/>
  <c r="M586" i="32" s="1"/>
  <c r="M594" i="32" s="1"/>
  <c r="D361" i="32"/>
  <c r="E361" i="32" s="1"/>
  <c r="G568" i="32"/>
  <c r="O568" i="32"/>
  <c r="T583" i="32"/>
  <c r="T586" i="32" s="1"/>
  <c r="T594" i="32" s="1"/>
  <c r="P582" i="32"/>
  <c r="P585" i="32" s="1"/>
  <c r="P593" i="32" s="1"/>
  <c r="M633" i="32"/>
  <c r="H568" i="32"/>
  <c r="P568" i="32"/>
  <c r="I582" i="32"/>
  <c r="I585" i="32" s="1"/>
  <c r="Q582" i="32"/>
  <c r="Q585" i="32" s="1"/>
  <c r="Q593" i="32" s="1"/>
  <c r="E591" i="32"/>
  <c r="M630" i="32"/>
  <c r="C251" i="32"/>
  <c r="C254" i="32" s="1"/>
  <c r="C218" i="32" s="1"/>
  <c r="I568" i="32"/>
  <c r="Q568" i="32"/>
  <c r="V570" i="32"/>
  <c r="V572" i="32" s="1"/>
  <c r="F583" i="32"/>
  <c r="F586" i="32" s="1"/>
  <c r="F592" i="32" s="1"/>
  <c r="N583" i="32"/>
  <c r="N586" i="32" s="1"/>
  <c r="N594" i="32" s="1"/>
  <c r="R582" i="32"/>
  <c r="R585" i="32" s="1"/>
  <c r="R593" i="32" s="1"/>
  <c r="F542" i="32"/>
  <c r="G542" i="32" s="1"/>
  <c r="J50" i="35" s="1"/>
  <c r="J51" i="35" s="1"/>
  <c r="G8" i="35" s="1"/>
  <c r="D655" i="32"/>
  <c r="F655" i="32" s="1"/>
  <c r="H655" i="32" s="1"/>
  <c r="D656" i="32"/>
  <c r="F656" i="32" s="1"/>
  <c r="H656" i="32" s="1"/>
  <c r="H7" i="35" l="1"/>
  <c r="E9" i="21" s="1"/>
  <c r="E10" i="21"/>
  <c r="C11" i="14" s="1"/>
  <c r="G7" i="35"/>
  <c r="D9" i="21" s="1"/>
  <c r="D10" i="21"/>
  <c r="F11" i="35"/>
  <c r="F7" i="35"/>
  <c r="C9" i="21" s="1"/>
  <c r="C10" i="14" s="1"/>
  <c r="H11" i="35"/>
  <c r="G11" i="35"/>
  <c r="E11" i="35"/>
  <c r="E7" i="35"/>
  <c r="E389" i="32"/>
  <c r="C528" i="32"/>
  <c r="B544" i="32"/>
  <c r="C544" i="32" s="1"/>
  <c r="D544" i="32" s="1"/>
  <c r="E544" i="32" s="1"/>
  <c r="F544" i="32" s="1"/>
  <c r="G544" i="32" s="1"/>
  <c r="L50" i="35" s="1"/>
  <c r="L51" i="35" s="1"/>
  <c r="I8" i="35" s="1"/>
  <c r="F10" i="21" s="1"/>
  <c r="D591" i="32"/>
  <c r="V593" i="32"/>
  <c r="C459" i="32"/>
  <c r="D583" i="32"/>
  <c r="D586" i="32" s="1"/>
  <c r="D592" i="32" s="1"/>
  <c r="E365" i="32"/>
  <c r="C310" i="32" s="1"/>
  <c r="V582" i="32"/>
  <c r="Q583" i="32"/>
  <c r="Q586" i="32" s="1"/>
  <c r="Q594" i="32" s="1"/>
  <c r="I583" i="32"/>
  <c r="I586" i="32" s="1"/>
  <c r="I592" i="32" s="1"/>
  <c r="P583" i="32"/>
  <c r="P586" i="32" s="1"/>
  <c r="P594" i="32" s="1"/>
  <c r="R583" i="32"/>
  <c r="R586" i="32" s="1"/>
  <c r="R594" i="32" s="1"/>
  <c r="H591" i="32"/>
  <c r="H590" i="32"/>
  <c r="G583" i="32"/>
  <c r="G586" i="32" s="1"/>
  <c r="G592" i="32" s="1"/>
  <c r="G590" i="32"/>
  <c r="G591" i="32"/>
  <c r="E519" i="32"/>
  <c r="D521" i="32"/>
  <c r="D522" i="32" s="1"/>
  <c r="O583" i="32"/>
  <c r="O586" i="32" s="1"/>
  <c r="O594" i="32" s="1"/>
  <c r="E351" i="32"/>
  <c r="E355" i="32" s="1"/>
  <c r="C309" i="32" s="1"/>
  <c r="D413" i="32" s="1"/>
  <c r="E413" i="32" s="1"/>
  <c r="E416" i="32" s="1"/>
  <c r="D400" i="32"/>
  <c r="E400" i="32" s="1"/>
  <c r="E402" i="32" s="1"/>
  <c r="C314" i="32" s="1"/>
  <c r="I591" i="32"/>
  <c r="I590" i="32"/>
  <c r="G565" i="32"/>
  <c r="B545" i="32" l="1"/>
  <c r="C545" i="32" s="1"/>
  <c r="D545" i="32" s="1"/>
  <c r="E545" i="32" s="1"/>
  <c r="F545" i="32" s="1"/>
  <c r="G545" i="32" s="1"/>
  <c r="M50" i="35" s="1"/>
  <c r="M51" i="35" s="1"/>
  <c r="J8" i="35" s="1"/>
  <c r="G10" i="21" s="1"/>
  <c r="I11" i="35"/>
  <c r="I7" i="35"/>
  <c r="F9" i="21" s="1"/>
  <c r="V594" i="32"/>
  <c r="V592" i="32"/>
  <c r="V590" i="32"/>
  <c r="V591" i="32"/>
  <c r="W591" i="32" s="1"/>
  <c r="D524" i="32"/>
  <c r="D528" i="32"/>
  <c r="E521" i="32"/>
  <c r="E522" i="32" s="1"/>
  <c r="F519" i="32"/>
  <c r="H565" i="32"/>
  <c r="V585" i="32"/>
  <c r="V583" i="32"/>
  <c r="B546" i="32" l="1"/>
  <c r="C546" i="32" s="1"/>
  <c r="D546" i="32" s="1"/>
  <c r="E546" i="32" s="1"/>
  <c r="F546" i="32" s="1"/>
  <c r="G546" i="32" s="1"/>
  <c r="N50" i="35" s="1"/>
  <c r="N51" i="35" s="1"/>
  <c r="K8" i="35" s="1"/>
  <c r="H10" i="21" s="1"/>
  <c r="J11" i="35"/>
  <c r="J7" i="35"/>
  <c r="G9" i="21" s="1"/>
  <c r="V586" i="32"/>
  <c r="E524" i="32"/>
  <c r="E528" i="32"/>
  <c r="I565" i="32"/>
  <c r="F521" i="32"/>
  <c r="F522" i="32" s="1"/>
  <c r="G519" i="32"/>
  <c r="G521" i="32" s="1"/>
  <c r="G522" i="32" s="1"/>
  <c r="B547" i="32" l="1"/>
  <c r="C547" i="32" s="1"/>
  <c r="D547" i="32" s="1"/>
  <c r="E547" i="32" s="1"/>
  <c r="F547" i="32" s="1"/>
  <c r="G547" i="32" s="1"/>
  <c r="O50" i="35" s="1"/>
  <c r="O51" i="35" s="1"/>
  <c r="L8" i="35" s="1"/>
  <c r="I10" i="21" s="1"/>
  <c r="K11" i="35"/>
  <c r="K7" i="35"/>
  <c r="H9" i="21" s="1"/>
  <c r="F524" i="32"/>
  <c r="F528" i="32"/>
  <c r="J565" i="32"/>
  <c r="G524" i="32"/>
  <c r="G528" i="32"/>
  <c r="B548" i="32" l="1"/>
  <c r="B549" i="32" s="1"/>
  <c r="L11" i="35"/>
  <c r="L7" i="35"/>
  <c r="I9" i="21" s="1"/>
  <c r="L565" i="32"/>
  <c r="K565" i="32"/>
  <c r="C548" i="32" l="1"/>
  <c r="D548" i="32" s="1"/>
  <c r="E548" i="32" s="1"/>
  <c r="F548" i="32" s="1"/>
  <c r="G548" i="32" s="1"/>
  <c r="P50" i="35" s="1"/>
  <c r="P51" i="35" s="1"/>
  <c r="M8" i="35" s="1"/>
  <c r="J10" i="21" s="1"/>
  <c r="C549" i="32"/>
  <c r="D549" i="32" s="1"/>
  <c r="E549" i="32" s="1"/>
  <c r="F549" i="32" s="1"/>
  <c r="G549" i="32" s="1"/>
  <c r="Q50" i="35" s="1"/>
  <c r="Q51" i="35" s="1"/>
  <c r="N8" i="35" s="1"/>
  <c r="K10" i="21" s="1"/>
  <c r="B550" i="32"/>
  <c r="M565" i="32"/>
  <c r="M7" i="35" l="1"/>
  <c r="J9" i="21" s="1"/>
  <c r="M11" i="35"/>
  <c r="N7" i="35"/>
  <c r="K9" i="21" s="1"/>
  <c r="N11" i="35"/>
  <c r="N565" i="32"/>
  <c r="C550" i="32"/>
  <c r="D550" i="32" s="1"/>
  <c r="E550" i="32" s="1"/>
  <c r="F550" i="32" s="1"/>
  <c r="G550" i="32" s="1"/>
  <c r="R50" i="35" s="1"/>
  <c r="R51" i="35" s="1"/>
  <c r="O8" i="35" s="1"/>
  <c r="L10" i="21" s="1"/>
  <c r="B551" i="32"/>
  <c r="O7" i="35" l="1"/>
  <c r="L9" i="21" s="1"/>
  <c r="O11" i="35"/>
  <c r="B552" i="32"/>
  <c r="C551" i="32"/>
  <c r="D551" i="32" s="1"/>
  <c r="E551" i="32" s="1"/>
  <c r="F551" i="32" s="1"/>
  <c r="G551" i="32" s="1"/>
  <c r="S50" i="35" s="1"/>
  <c r="S51" i="35" s="1"/>
  <c r="P8" i="35" s="1"/>
  <c r="M10" i="21" s="1"/>
  <c r="D11" i="14" s="1"/>
  <c r="O565" i="32"/>
  <c r="P7" i="35" l="1"/>
  <c r="M9" i="21" s="1"/>
  <c r="D10" i="14" s="1"/>
  <c r="P11" i="35"/>
  <c r="P565" i="32"/>
  <c r="C552" i="32"/>
  <c r="D552" i="32" s="1"/>
  <c r="E552" i="32" s="1"/>
  <c r="F552" i="32" s="1"/>
  <c r="G552" i="32" s="1"/>
  <c r="T50" i="35" s="1"/>
  <c r="T51" i="35" s="1"/>
  <c r="Q8" i="35" s="1"/>
  <c r="N10" i="21" s="1"/>
  <c r="B553" i="32"/>
  <c r="Q11" i="35" l="1"/>
  <c r="Q7" i="35"/>
  <c r="N9" i="21" s="1"/>
  <c r="C553" i="32"/>
  <c r="D553" i="32" s="1"/>
  <c r="E553" i="32" s="1"/>
  <c r="F553" i="32" s="1"/>
  <c r="G553" i="32" s="1"/>
  <c r="U50" i="35" s="1"/>
  <c r="U51" i="35" s="1"/>
  <c r="R8" i="35" s="1"/>
  <c r="O10" i="21" s="1"/>
  <c r="B554" i="32"/>
  <c r="Q565" i="32"/>
  <c r="R11" i="35" l="1"/>
  <c r="R7" i="35"/>
  <c r="O9" i="21" s="1"/>
  <c r="R565" i="32"/>
  <c r="C554" i="32"/>
  <c r="D554" i="32" s="1"/>
  <c r="E554" i="32" s="1"/>
  <c r="F554" i="32" s="1"/>
  <c r="G554" i="32" s="1"/>
  <c r="V50" i="35" s="1"/>
  <c r="V51" i="35" s="1"/>
  <c r="S8" i="35" s="1"/>
  <c r="P10" i="21" s="1"/>
  <c r="B555" i="32"/>
  <c r="S11" i="35" l="1"/>
  <c r="S7" i="35"/>
  <c r="P9" i="21" s="1"/>
  <c r="B556" i="32"/>
  <c r="C555" i="32"/>
  <c r="D555" i="32" s="1"/>
  <c r="E555" i="32" s="1"/>
  <c r="F555" i="32" s="1"/>
  <c r="G555" i="32" s="1"/>
  <c r="W50" i="35" s="1"/>
  <c r="W51" i="35" s="1"/>
  <c r="T8" i="35" s="1"/>
  <c r="Q10" i="21" s="1"/>
  <c r="S565" i="32"/>
  <c r="T11" i="35" l="1"/>
  <c r="T7" i="35"/>
  <c r="Q9" i="21" s="1"/>
  <c r="C556" i="32"/>
  <c r="D556" i="32" s="1"/>
  <c r="E556" i="32" s="1"/>
  <c r="F556" i="32" s="1"/>
  <c r="G556" i="32" s="1"/>
  <c r="X50" i="35" s="1"/>
  <c r="X51" i="35" s="1"/>
  <c r="U8" i="35" s="1"/>
  <c r="R10" i="21" s="1"/>
  <c r="B557" i="32"/>
  <c r="T565" i="32"/>
  <c r="U11" i="35" l="1"/>
  <c r="U7" i="35"/>
  <c r="R9" i="21" s="1"/>
  <c r="U565" i="32"/>
  <c r="C557" i="32"/>
  <c r="D557" i="32" s="1"/>
  <c r="E557" i="32" s="1"/>
  <c r="F557" i="32" s="1"/>
  <c r="G557" i="32" s="1"/>
  <c r="Y50" i="35" s="1"/>
  <c r="Y51" i="35" s="1"/>
  <c r="V8" i="35" s="1"/>
  <c r="S10" i="21" s="1"/>
  <c r="B558" i="32"/>
  <c r="V7" i="35" l="1"/>
  <c r="S9" i="21" s="1"/>
  <c r="V11" i="35"/>
  <c r="V565" i="32"/>
  <c r="C558" i="32"/>
  <c r="D558" i="32" s="1"/>
  <c r="E558" i="32" s="1"/>
  <c r="F558" i="32" s="1"/>
  <c r="G558" i="32" s="1"/>
  <c r="Z50" i="35" s="1"/>
  <c r="Z51" i="35" s="1"/>
  <c r="W8" i="35" s="1"/>
  <c r="T10" i="21" s="1"/>
  <c r="B559" i="32"/>
  <c r="W7" i="35" l="1"/>
  <c r="T9" i="21" s="1"/>
  <c r="W11" i="35"/>
  <c r="B560" i="32"/>
  <c r="C560" i="32" s="1"/>
  <c r="D560" i="32" s="1"/>
  <c r="E560" i="32" s="1"/>
  <c r="F560" i="32" s="1"/>
  <c r="G560" i="32" s="1"/>
  <c r="C559" i="32"/>
  <c r="D559" i="32" s="1"/>
  <c r="E559" i="32" s="1"/>
  <c r="F559" i="32" s="1"/>
  <c r="G559" i="32" s="1"/>
  <c r="AA50" i="35" s="1"/>
  <c r="AA51" i="35" s="1"/>
  <c r="X8" i="35" s="1"/>
  <c r="U10" i="21" s="1"/>
  <c r="E11" i="14" s="1"/>
  <c r="C567" i="32"/>
  <c r="V567" i="32"/>
  <c r="E567" i="32"/>
  <c r="D567" i="32"/>
  <c r="F567" i="32"/>
  <c r="G567" i="32"/>
  <c r="H567" i="32"/>
  <c r="I567" i="32"/>
  <c r="J567" i="32"/>
  <c r="K567" i="32"/>
  <c r="L567" i="32"/>
  <c r="M567" i="32"/>
  <c r="N567" i="32"/>
  <c r="O567" i="32"/>
  <c r="P567" i="32"/>
  <c r="Q567" i="32"/>
  <c r="R567" i="32"/>
  <c r="S567" i="32"/>
  <c r="T567" i="32"/>
  <c r="U567" i="32"/>
  <c r="X7" i="35" l="1"/>
  <c r="U9" i="21" s="1"/>
  <c r="E10" i="14" s="1"/>
  <c r="X11" i="35"/>
  <c r="Y8" i="35"/>
  <c r="G692" i="32"/>
  <c r="G693" i="32" s="1"/>
  <c r="G623" i="32"/>
  <c r="G622" i="32" s="1"/>
  <c r="G667" i="32"/>
  <c r="G666" i="32" s="1"/>
  <c r="G668" i="32" s="1"/>
  <c r="G669" i="32" s="1"/>
  <c r="N692" i="32"/>
  <c r="N693" i="32" s="1"/>
  <c r="N623" i="32"/>
  <c r="N622" i="32" s="1"/>
  <c r="N667" i="32"/>
  <c r="N666" i="32" s="1"/>
  <c r="N668" i="32" s="1"/>
  <c r="N669" i="32" s="1"/>
  <c r="U667" i="32"/>
  <c r="U666" i="32" s="1"/>
  <c r="U668" i="32" s="1"/>
  <c r="U669" i="32" s="1"/>
  <c r="U692" i="32"/>
  <c r="U693" i="32" s="1"/>
  <c r="U623" i="32"/>
  <c r="U622" i="32" s="1"/>
  <c r="M667" i="32"/>
  <c r="M666" i="32" s="1"/>
  <c r="M668" i="32" s="1"/>
  <c r="M669" i="32" s="1"/>
  <c r="M692" i="32"/>
  <c r="M693" i="32" s="1"/>
  <c r="M623" i="32"/>
  <c r="M622" i="32" s="1"/>
  <c r="D667" i="32"/>
  <c r="D666" i="32" s="1"/>
  <c r="D668" i="32" s="1"/>
  <c r="D669" i="32" s="1"/>
  <c r="D692" i="32"/>
  <c r="D693" i="32" s="1"/>
  <c r="D623" i="32"/>
  <c r="D622" i="32" s="1"/>
  <c r="O692" i="32"/>
  <c r="O693" i="32" s="1"/>
  <c r="O623" i="32"/>
  <c r="O622" i="32" s="1"/>
  <c r="O667" i="32"/>
  <c r="O666" i="32" s="1"/>
  <c r="O668" i="32" s="1"/>
  <c r="O669" i="32" s="1"/>
  <c r="F692" i="32"/>
  <c r="F693" i="32" s="1"/>
  <c r="F623" i="32"/>
  <c r="F622" i="32" s="1"/>
  <c r="F667" i="32"/>
  <c r="F666" i="32" s="1"/>
  <c r="F668" i="32" s="1"/>
  <c r="F669" i="32" s="1"/>
  <c r="T667" i="32"/>
  <c r="T666" i="32" s="1"/>
  <c r="T668" i="32" s="1"/>
  <c r="T669" i="32" s="1"/>
  <c r="T692" i="32"/>
  <c r="T693" i="32" s="1"/>
  <c r="T623" i="32"/>
  <c r="T622" i="32" s="1"/>
  <c r="L667" i="32"/>
  <c r="L666" i="32" s="1"/>
  <c r="L668" i="32" s="1"/>
  <c r="L669" i="32" s="1"/>
  <c r="L692" i="32"/>
  <c r="L693" i="32" s="1"/>
  <c r="L623" i="32"/>
  <c r="L622" i="32" s="1"/>
  <c r="E667" i="32"/>
  <c r="E666" i="32" s="1"/>
  <c r="E668" i="32" s="1"/>
  <c r="E669" i="32" s="1"/>
  <c r="E692" i="32"/>
  <c r="E693" i="32" s="1"/>
  <c r="E623" i="32"/>
  <c r="E622" i="32" s="1"/>
  <c r="S623" i="32"/>
  <c r="S622" i="32" s="1"/>
  <c r="S667" i="32"/>
  <c r="S666" i="32" s="1"/>
  <c r="S668" i="32" s="1"/>
  <c r="S669" i="32" s="1"/>
  <c r="S692" i="32"/>
  <c r="S693" i="32" s="1"/>
  <c r="R623" i="32"/>
  <c r="R622" i="32" s="1"/>
  <c r="R667" i="32"/>
  <c r="R666" i="32" s="1"/>
  <c r="R668" i="32" s="1"/>
  <c r="R669" i="32" s="1"/>
  <c r="R692" i="32"/>
  <c r="R693" i="32" s="1"/>
  <c r="J623" i="32"/>
  <c r="J622" i="32" s="1"/>
  <c r="J667" i="32"/>
  <c r="J666" i="32" s="1"/>
  <c r="J668" i="32" s="1"/>
  <c r="J669" i="32" s="1"/>
  <c r="J692" i="32"/>
  <c r="J693" i="32" s="1"/>
  <c r="C623" i="32"/>
  <c r="C667" i="32"/>
  <c r="C666" i="32" s="1"/>
  <c r="C692" i="32"/>
  <c r="C693" i="32" s="1"/>
  <c r="K623" i="32"/>
  <c r="K622" i="32" s="1"/>
  <c r="K667" i="32"/>
  <c r="K666" i="32" s="1"/>
  <c r="K668" i="32" s="1"/>
  <c r="K669" i="32" s="1"/>
  <c r="K692" i="32"/>
  <c r="K693" i="32" s="1"/>
  <c r="Q623" i="32"/>
  <c r="Q622" i="32" s="1"/>
  <c r="Q667" i="32"/>
  <c r="Q666" i="32" s="1"/>
  <c r="Q668" i="32" s="1"/>
  <c r="Q669" i="32" s="1"/>
  <c r="Q692" i="32"/>
  <c r="Q693" i="32" s="1"/>
  <c r="I623" i="32"/>
  <c r="I622" i="32" s="1"/>
  <c r="I667" i="32"/>
  <c r="I666" i="32" s="1"/>
  <c r="I668" i="32" s="1"/>
  <c r="I669" i="32" s="1"/>
  <c r="I692" i="32"/>
  <c r="I693" i="32" s="1"/>
  <c r="V692" i="32"/>
  <c r="V693" i="32" s="1"/>
  <c r="V667" i="32"/>
  <c r="P623" i="32"/>
  <c r="P622" i="32" s="1"/>
  <c r="P667" i="32"/>
  <c r="P666" i="32" s="1"/>
  <c r="P668" i="32" s="1"/>
  <c r="P669" i="32" s="1"/>
  <c r="P692" i="32"/>
  <c r="P693" i="32" s="1"/>
  <c r="H623" i="32"/>
  <c r="H622" i="32" s="1"/>
  <c r="H667" i="32"/>
  <c r="H666" i="32" s="1"/>
  <c r="H668" i="32" s="1"/>
  <c r="H669" i="32" s="1"/>
  <c r="H692" i="32"/>
  <c r="H693" i="32" s="1"/>
  <c r="J14" i="30" l="1"/>
  <c r="V10" i="21"/>
  <c r="B11" i="14" s="1"/>
  <c r="B10" i="36" s="1"/>
  <c r="Y11" i="35"/>
  <c r="Y7" i="35"/>
  <c r="V9" i="21" s="1"/>
  <c r="B10" i="14" s="1"/>
  <c r="B9" i="36" s="1"/>
  <c r="T626" i="32"/>
  <c r="T638" i="32" s="1"/>
  <c r="T624" i="32"/>
  <c r="T636" i="32" s="1"/>
  <c r="T627" i="32"/>
  <c r="T639" i="32" s="1"/>
  <c r="T625" i="32"/>
  <c r="T637" i="32" s="1"/>
  <c r="J695" i="32"/>
  <c r="J697" i="32" s="1"/>
  <c r="J694" i="32"/>
  <c r="J696" i="32" s="1"/>
  <c r="T694" i="32"/>
  <c r="T696" i="32" s="1"/>
  <c r="T695" i="32"/>
  <c r="T697" i="32" s="1"/>
  <c r="D626" i="32"/>
  <c r="D638" i="32" s="1"/>
  <c r="D624" i="32"/>
  <c r="D636" i="32" s="1"/>
  <c r="D627" i="32"/>
  <c r="D639" i="32" s="1"/>
  <c r="D625" i="32"/>
  <c r="D637" i="32" s="1"/>
  <c r="P627" i="32"/>
  <c r="P639" i="32" s="1"/>
  <c r="P625" i="32"/>
  <c r="P637" i="32" s="1"/>
  <c r="P626" i="32"/>
  <c r="P638" i="32" s="1"/>
  <c r="P624" i="32"/>
  <c r="P636" i="32" s="1"/>
  <c r="E626" i="32"/>
  <c r="E638" i="32" s="1"/>
  <c r="E624" i="32"/>
  <c r="E636" i="32" s="1"/>
  <c r="E627" i="32"/>
  <c r="E639" i="32" s="1"/>
  <c r="E625" i="32"/>
  <c r="E637" i="32" s="1"/>
  <c r="D694" i="32"/>
  <c r="D696" i="32" s="1"/>
  <c r="D695" i="32"/>
  <c r="D697" i="32" s="1"/>
  <c r="P695" i="32"/>
  <c r="P697" i="32" s="1"/>
  <c r="P694" i="32"/>
  <c r="P696" i="32" s="1"/>
  <c r="S626" i="32"/>
  <c r="S638" i="32" s="1"/>
  <c r="S624" i="32"/>
  <c r="S636" i="32" s="1"/>
  <c r="S627" i="32"/>
  <c r="S639" i="32" s="1"/>
  <c r="S625" i="32"/>
  <c r="S637" i="32" s="1"/>
  <c r="Q625" i="32"/>
  <c r="Q637" i="32" s="1"/>
  <c r="Q626" i="32"/>
  <c r="Q638" i="32" s="1"/>
  <c r="Q624" i="32"/>
  <c r="Q636" i="32" s="1"/>
  <c r="Q627" i="32"/>
  <c r="Q639" i="32" s="1"/>
  <c r="K695" i="32"/>
  <c r="K697" i="32" s="1"/>
  <c r="K694" i="32"/>
  <c r="K696" i="32" s="1"/>
  <c r="J625" i="32"/>
  <c r="J637" i="32" s="1"/>
  <c r="J626" i="32"/>
  <c r="J638" i="32" s="1"/>
  <c r="J624" i="32"/>
  <c r="J636" i="32" s="1"/>
  <c r="J627" i="32"/>
  <c r="J639" i="32" s="1"/>
  <c r="E694" i="32"/>
  <c r="E696" i="32" s="1"/>
  <c r="E695" i="32"/>
  <c r="E697" i="32" s="1"/>
  <c r="N624" i="32"/>
  <c r="N636" i="32" s="1"/>
  <c r="N627" i="32"/>
  <c r="N639" i="32" s="1"/>
  <c r="N625" i="32"/>
  <c r="N637" i="32" s="1"/>
  <c r="N626" i="32"/>
  <c r="N638" i="32" s="1"/>
  <c r="C622" i="32"/>
  <c r="V623" i="32"/>
  <c r="U694" i="32"/>
  <c r="U696" i="32" s="1"/>
  <c r="U695" i="32"/>
  <c r="U697" i="32" s="1"/>
  <c r="F624" i="32"/>
  <c r="F636" i="32" s="1"/>
  <c r="F627" i="32"/>
  <c r="F639" i="32" s="1"/>
  <c r="F625" i="32"/>
  <c r="F637" i="32" s="1"/>
  <c r="F626" i="32"/>
  <c r="F638" i="32" s="1"/>
  <c r="H695" i="32"/>
  <c r="H697" i="32" s="1"/>
  <c r="H694" i="32"/>
  <c r="H696" i="32" s="1"/>
  <c r="F694" i="32"/>
  <c r="F696" i="32" s="1"/>
  <c r="F695" i="32"/>
  <c r="F697" i="32" s="1"/>
  <c r="M694" i="32"/>
  <c r="M696" i="32" s="1"/>
  <c r="M695" i="32"/>
  <c r="M697" i="32" s="1"/>
  <c r="N694" i="32"/>
  <c r="N696" i="32" s="1"/>
  <c r="N695" i="32"/>
  <c r="N697" i="32" s="1"/>
  <c r="K626" i="32"/>
  <c r="K638" i="32" s="1"/>
  <c r="K624" i="32"/>
  <c r="K636" i="32" s="1"/>
  <c r="K627" i="32"/>
  <c r="K639" i="32" s="1"/>
  <c r="K625" i="32"/>
  <c r="K637" i="32" s="1"/>
  <c r="C695" i="32"/>
  <c r="C697" i="32" s="1"/>
  <c r="C694" i="32"/>
  <c r="C696" i="32" s="1"/>
  <c r="R625" i="32"/>
  <c r="R637" i="32" s="1"/>
  <c r="R626" i="32"/>
  <c r="R638" i="32" s="1"/>
  <c r="R624" i="32"/>
  <c r="R636" i="32" s="1"/>
  <c r="R627" i="32"/>
  <c r="R639" i="32" s="1"/>
  <c r="L694" i="32"/>
  <c r="L696" i="32" s="1"/>
  <c r="L695" i="32"/>
  <c r="L697" i="32" s="1"/>
  <c r="G624" i="32"/>
  <c r="G636" i="32" s="1"/>
  <c r="G627" i="32"/>
  <c r="G639" i="32" s="1"/>
  <c r="G625" i="32"/>
  <c r="G637" i="32" s="1"/>
  <c r="G626" i="32"/>
  <c r="G638" i="32" s="1"/>
  <c r="Q695" i="32"/>
  <c r="Q697" i="32" s="1"/>
  <c r="Q694" i="32"/>
  <c r="Q696" i="32" s="1"/>
  <c r="O694" i="32"/>
  <c r="O696" i="32" s="1"/>
  <c r="O695" i="32"/>
  <c r="O697" i="32" s="1"/>
  <c r="V694" i="32"/>
  <c r="V696" i="32" s="1"/>
  <c r="V695" i="32"/>
  <c r="V697" i="32" s="1"/>
  <c r="R695" i="32"/>
  <c r="R697" i="32" s="1"/>
  <c r="R694" i="32"/>
  <c r="R696" i="32" s="1"/>
  <c r="M626" i="32"/>
  <c r="M638" i="32" s="1"/>
  <c r="M624" i="32"/>
  <c r="M636" i="32" s="1"/>
  <c r="M627" i="32"/>
  <c r="M639" i="32" s="1"/>
  <c r="M625" i="32"/>
  <c r="M637" i="32" s="1"/>
  <c r="I695" i="32"/>
  <c r="I697" i="32" s="1"/>
  <c r="I694" i="32"/>
  <c r="I696" i="32" s="1"/>
  <c r="L626" i="32"/>
  <c r="L638" i="32" s="1"/>
  <c r="L624" i="32"/>
  <c r="L636" i="32" s="1"/>
  <c r="L627" i="32"/>
  <c r="L639" i="32" s="1"/>
  <c r="L625" i="32"/>
  <c r="L637" i="32" s="1"/>
  <c r="H627" i="32"/>
  <c r="H639" i="32" s="1"/>
  <c r="H625" i="32"/>
  <c r="H637" i="32" s="1"/>
  <c r="H626" i="32"/>
  <c r="H638" i="32" s="1"/>
  <c r="H624" i="32"/>
  <c r="H636" i="32" s="1"/>
  <c r="I625" i="32"/>
  <c r="I637" i="32" s="1"/>
  <c r="I626" i="32"/>
  <c r="I638" i="32" s="1"/>
  <c r="I624" i="32"/>
  <c r="I636" i="32" s="1"/>
  <c r="I627" i="32"/>
  <c r="I639" i="32" s="1"/>
  <c r="V666" i="32"/>
  <c r="V668" i="32" s="1"/>
  <c r="V669" i="32" s="1"/>
  <c r="C668" i="32"/>
  <c r="C669" i="32" s="1"/>
  <c r="S695" i="32"/>
  <c r="S697" i="32" s="1"/>
  <c r="S694" i="32"/>
  <c r="S696" i="32" s="1"/>
  <c r="O624" i="32"/>
  <c r="O636" i="32" s="1"/>
  <c r="O627" i="32"/>
  <c r="O639" i="32" s="1"/>
  <c r="O625" i="32"/>
  <c r="O637" i="32" s="1"/>
  <c r="O626" i="32"/>
  <c r="O638" i="32" s="1"/>
  <c r="U626" i="32"/>
  <c r="U638" i="32" s="1"/>
  <c r="U624" i="32"/>
  <c r="U636" i="32" s="1"/>
  <c r="U627" i="32"/>
  <c r="U639" i="32" s="1"/>
  <c r="U625" i="32"/>
  <c r="U637" i="32" s="1"/>
  <c r="G694" i="32"/>
  <c r="G696" i="32" s="1"/>
  <c r="G695" i="32"/>
  <c r="G697" i="32" s="1"/>
  <c r="F10" i="36" l="1"/>
  <c r="G10" i="36"/>
  <c r="G9" i="36" s="1"/>
  <c r="D9" i="36" s="1"/>
  <c r="H10" i="36"/>
  <c r="H9" i="36" s="1"/>
  <c r="E9" i="36" s="1"/>
  <c r="V622" i="32"/>
  <c r="C626" i="32"/>
  <c r="C638" i="32" s="1"/>
  <c r="C624" i="32"/>
  <c r="C636" i="32" s="1"/>
  <c r="C627" i="32"/>
  <c r="C639" i="32" s="1"/>
  <c r="C625" i="32"/>
  <c r="C637" i="32" s="1"/>
  <c r="M10" i="36" l="1"/>
  <c r="M9" i="36" s="1"/>
  <c r="N10" i="36"/>
  <c r="N9" i="36" s="1"/>
  <c r="O10" i="36"/>
  <c r="O9" i="36" s="1"/>
  <c r="P10" i="36"/>
  <c r="P9" i="36" s="1"/>
  <c r="F9" i="36"/>
  <c r="C9" i="36" s="1"/>
  <c r="V624" i="32"/>
  <c r="V627" i="32"/>
  <c r="V639" i="32" s="1"/>
  <c r="V625" i="32"/>
  <c r="V626" i="32"/>
  <c r="L9" i="36" l="1"/>
  <c r="K9" i="36"/>
  <c r="J9" i="36"/>
  <c r="I9" i="36"/>
  <c r="V638" i="32"/>
  <c r="W626" i="32"/>
  <c r="W625" i="32"/>
  <c r="V637" i="32"/>
  <c r="W624" i="32"/>
  <c r="V636" i="32"/>
  <c r="I126" i="30" l="1"/>
  <c r="I118" i="30"/>
  <c r="I111" i="30"/>
  <c r="I103" i="30"/>
  <c r="I99" i="30"/>
  <c r="I93" i="30"/>
  <c r="I90" i="30"/>
  <c r="I86" i="30"/>
  <c r="I82" i="30"/>
  <c r="I77" i="30"/>
  <c r="I70" i="30"/>
  <c r="I63" i="30"/>
  <c r="I60" i="30"/>
  <c r="I47" i="30"/>
  <c r="I42" i="30"/>
  <c r="I39" i="30"/>
  <c r="I35" i="30"/>
  <c r="I8" i="30"/>
  <c r="I2" i="30"/>
  <c r="B49" i="27"/>
  <c r="B50" i="27"/>
  <c r="B51" i="27"/>
  <c r="B52" i="27"/>
  <c r="B53" i="27"/>
  <c r="B54" i="27"/>
  <c r="B48" i="27"/>
  <c r="B22" i="27"/>
  <c r="B21" i="27"/>
  <c r="B20" i="27"/>
  <c r="B19" i="27"/>
  <c r="B16" i="27"/>
  <c r="B17" i="27"/>
  <c r="B18" i="27"/>
  <c r="B15" i="27"/>
  <c r="B9" i="27"/>
  <c r="B8" i="27"/>
  <c r="B4" i="27"/>
  <c r="B46" i="9"/>
  <c r="B47" i="9"/>
  <c r="B48" i="9"/>
  <c r="B45" i="9"/>
  <c r="B19" i="9"/>
  <c r="B20" i="9"/>
  <c r="B16" i="9"/>
  <c r="B17" i="9"/>
  <c r="B18" i="9"/>
  <c r="B15" i="9"/>
  <c r="B9" i="9"/>
  <c r="B8" i="9"/>
  <c r="B4" i="9"/>
  <c r="B112" i="8"/>
  <c r="B113" i="8"/>
  <c r="B111" i="8"/>
  <c r="B81" i="8"/>
  <c r="B82" i="8"/>
  <c r="B83" i="8"/>
  <c r="B80" i="8"/>
  <c r="B52" i="8"/>
  <c r="B53" i="8"/>
  <c r="B54" i="8"/>
  <c r="B51" i="8"/>
  <c r="B21" i="8"/>
  <c r="B18" i="8"/>
  <c r="B19" i="8"/>
  <c r="B20" i="8"/>
  <c r="B17" i="8"/>
  <c r="B11" i="8"/>
  <c r="B10" i="8"/>
  <c r="B9" i="8"/>
  <c r="B8" i="8"/>
  <c r="B4" i="8"/>
  <c r="B15" i="25"/>
  <c r="B16" i="25"/>
  <c r="B17" i="25"/>
  <c r="B18" i="25"/>
  <c r="B19" i="25"/>
  <c r="B14" i="25"/>
  <c r="B8" i="25"/>
  <c r="B4" i="25"/>
  <c r="B43" i="24"/>
  <c r="B42" i="24"/>
  <c r="B41" i="24"/>
  <c r="B38" i="24"/>
  <c r="B39" i="24"/>
  <c r="B40" i="24"/>
  <c r="B37" i="24"/>
  <c r="B16" i="24"/>
  <c r="B17" i="24"/>
  <c r="B18" i="24"/>
  <c r="B15" i="24"/>
  <c r="B9" i="24"/>
  <c r="B8" i="24"/>
  <c r="B4" i="24"/>
  <c r="B56" i="5" l="1"/>
  <c r="B10" i="23" l="1"/>
  <c r="B9" i="23"/>
  <c r="B8" i="23"/>
  <c r="B7" i="23"/>
  <c r="B116" i="23" l="1"/>
  <c r="B115" i="23"/>
  <c r="B114" i="23"/>
  <c r="B113" i="23"/>
  <c r="B112" i="23"/>
  <c r="B111" i="23"/>
  <c r="B82" i="23"/>
  <c r="B80" i="23"/>
  <c r="B81" i="23"/>
  <c r="B79" i="23"/>
  <c r="B78" i="23"/>
  <c r="B48" i="23"/>
  <c r="B47" i="23"/>
  <c r="B46" i="23"/>
  <c r="B19" i="23"/>
  <c r="B18" i="23"/>
  <c r="B17" i="23"/>
  <c r="B16" i="23"/>
  <c r="B58" i="5"/>
  <c r="B57" i="5"/>
  <c r="B55" i="5"/>
  <c r="B54" i="5"/>
  <c r="B53" i="5"/>
  <c r="B22" i="5"/>
  <c r="B21" i="5"/>
  <c r="B18" i="5"/>
  <c r="B17" i="5"/>
  <c r="B16" i="5"/>
  <c r="B15" i="5"/>
  <c r="B9" i="5" l="1"/>
  <c r="B8" i="5"/>
  <c r="B4" i="5"/>
  <c r="H135" i="23" l="1"/>
  <c r="H35" i="23"/>
  <c r="H71" i="20" l="1"/>
  <c r="H33" i="23"/>
  <c r="H41" i="8"/>
  <c r="H124" i="8"/>
  <c r="H100" i="8"/>
  <c r="H162" i="23"/>
  <c r="H67" i="8" l="1"/>
  <c r="C81" i="27"/>
  <c r="C80" i="27"/>
  <c r="H79" i="27"/>
  <c r="H77" i="27"/>
  <c r="H75" i="27" s="1"/>
  <c r="H74" i="27" s="1"/>
  <c r="H73" i="27"/>
  <c r="H72" i="27"/>
  <c r="C71" i="27"/>
  <c r="H63" i="27"/>
  <c r="C37" i="27"/>
  <c r="H35" i="27"/>
  <c r="H33" i="27"/>
  <c r="H31" i="27"/>
  <c r="B13" i="27"/>
  <c r="X9" i="27"/>
  <c r="V9" i="27"/>
  <c r="U9" i="27"/>
  <c r="S9" i="27"/>
  <c r="R9" i="27"/>
  <c r="P9" i="27"/>
  <c r="O9" i="27"/>
  <c r="M9" i="27"/>
  <c r="L9" i="27"/>
  <c r="J9" i="27"/>
  <c r="I9" i="27"/>
  <c r="B47" i="27" s="1"/>
  <c r="X8" i="27"/>
  <c r="W8" i="27"/>
  <c r="V8" i="27"/>
  <c r="U8" i="27"/>
  <c r="T8" i="27"/>
  <c r="S8" i="27"/>
  <c r="R8" i="27"/>
  <c r="Q8" i="27"/>
  <c r="P8" i="27"/>
  <c r="O8" i="27"/>
  <c r="N8" i="27"/>
  <c r="M8" i="27"/>
  <c r="L8" i="27"/>
  <c r="K8" i="27"/>
  <c r="C40" i="25"/>
  <c r="H37" i="25"/>
  <c r="X8" i="25"/>
  <c r="V8" i="25"/>
  <c r="U8" i="25"/>
  <c r="S8" i="25"/>
  <c r="R8" i="25"/>
  <c r="P8" i="25"/>
  <c r="O8" i="25"/>
  <c r="M8" i="25"/>
  <c r="L8" i="25"/>
  <c r="J8" i="25"/>
  <c r="I8" i="25"/>
  <c r="V7" i="25"/>
  <c r="S7" i="25"/>
  <c r="P7" i="25"/>
  <c r="J7" i="25"/>
  <c r="B12" i="25" l="1"/>
  <c r="U7" i="25"/>
  <c r="O7" i="25"/>
  <c r="L7" i="25"/>
  <c r="X7" i="25"/>
  <c r="M7" i="25"/>
  <c r="S7" i="27"/>
  <c r="X7" i="27"/>
  <c r="L7" i="27"/>
  <c r="P7" i="27"/>
  <c r="O7" i="27"/>
  <c r="U7" i="27"/>
  <c r="V7" i="27"/>
  <c r="R7" i="25"/>
  <c r="I7" i="25"/>
  <c r="M7" i="27"/>
  <c r="R7" i="27"/>
  <c r="H67" i="24" l="1"/>
  <c r="C55" i="24"/>
  <c r="H54" i="24"/>
  <c r="H28" i="24"/>
  <c r="H167" i="23" l="1"/>
  <c r="H137" i="23"/>
  <c r="C136" i="23"/>
  <c r="H129" i="23"/>
  <c r="H126" i="23"/>
  <c r="H97" i="23"/>
  <c r="H66" i="23"/>
  <c r="C65" i="23"/>
  <c r="G64" i="23"/>
  <c r="H61" i="23"/>
  <c r="C58" i="23"/>
  <c r="H58" i="23" s="1"/>
  <c r="C56" i="23"/>
  <c r="C54" i="23"/>
  <c r="H32" i="23"/>
  <c r="C26" i="23"/>
  <c r="H96" i="23" l="1"/>
  <c r="B144" i="23"/>
  <c r="B109" i="23" s="1"/>
  <c r="B76" i="23" s="1"/>
  <c r="B44" i="23" s="1"/>
  <c r="B14" i="23" s="1"/>
  <c r="H64" i="23"/>
  <c r="H128" i="20" l="1"/>
  <c r="H125" i="20"/>
  <c r="H123" i="20"/>
  <c r="H99" i="20"/>
  <c r="H101" i="20"/>
  <c r="H95" i="20"/>
  <c r="K10" i="20" l="1"/>
  <c r="O10" i="20" l="1"/>
  <c r="H68" i="9"/>
  <c r="T10" i="20" l="1"/>
  <c r="B154" i="20"/>
  <c r="B133" i="20"/>
  <c r="B52" i="20"/>
  <c r="B17" i="20"/>
  <c r="H14" i="20"/>
  <c r="I14" i="20"/>
  <c r="L14" i="20"/>
  <c r="M14" i="20"/>
  <c r="Q14" i="20"/>
  <c r="R14" i="20"/>
  <c r="V14" i="20"/>
  <c r="W14" i="20"/>
  <c r="H147" i="20"/>
  <c r="H171" i="20" s="1"/>
  <c r="H169" i="20" s="1"/>
  <c r="C120" i="20"/>
  <c r="C119" i="20"/>
  <c r="C33" i="20"/>
  <c r="W7" i="20"/>
  <c r="V7" i="20"/>
  <c r="R7" i="20"/>
  <c r="Q7" i="20"/>
  <c r="M7" i="20"/>
  <c r="L7" i="20"/>
  <c r="I7" i="20"/>
  <c r="H7" i="20"/>
  <c r="H172" i="20" l="1"/>
  <c r="H122" i="8" l="1"/>
  <c r="C121" i="8"/>
  <c r="C120" i="8"/>
  <c r="H125" i="8"/>
  <c r="B109" i="8"/>
  <c r="C67" i="9"/>
  <c r="C29" i="8"/>
  <c r="C28" i="8"/>
  <c r="C30" i="8" l="1"/>
  <c r="C27" i="8"/>
  <c r="C38" i="8" l="1"/>
  <c r="C37" i="8"/>
  <c r="C36" i="8"/>
  <c r="C31" i="8"/>
  <c r="C32" i="8"/>
  <c r="H85" i="5"/>
  <c r="H42" i="5"/>
  <c r="H83" i="5"/>
  <c r="H40" i="5"/>
  <c r="C82" i="5"/>
  <c r="C81" i="5"/>
  <c r="C78" i="5"/>
  <c r="C80" i="5"/>
  <c r="C71" i="5"/>
  <c r="C70" i="5"/>
  <c r="C38" i="5"/>
  <c r="C37" i="5"/>
  <c r="C31" i="5"/>
  <c r="C61" i="9" l="1"/>
  <c r="C60" i="9"/>
  <c r="H59" i="9"/>
  <c r="H64" i="9"/>
  <c r="H56" i="9"/>
  <c r="H29" i="9"/>
  <c r="H28" i="9" l="1"/>
  <c r="H30" i="9"/>
  <c r="B44" i="9" l="1"/>
  <c r="H35" i="9"/>
  <c r="B13" i="9"/>
  <c r="H93" i="8"/>
  <c r="H101" i="8"/>
  <c r="C99" i="8"/>
  <c r="C98" i="8"/>
  <c r="B78" i="8"/>
  <c r="C63" i="8"/>
  <c r="C65" i="8"/>
  <c r="C64" i="8"/>
  <c r="H39" i="8"/>
  <c r="H68" i="8"/>
  <c r="H33" i="9" l="1"/>
  <c r="H64" i="8"/>
  <c r="H65" i="8"/>
  <c r="H33" i="8" l="1"/>
  <c r="H32" i="8"/>
  <c r="B49" i="8"/>
  <c r="B15" i="8"/>
  <c r="H37" i="8" l="1"/>
  <c r="H38" i="8"/>
  <c r="H79" i="5" l="1"/>
  <c r="H66" i="5"/>
  <c r="H37" i="5" l="1"/>
  <c r="B51" i="5" l="1"/>
  <c r="B13" i="5"/>
  <c r="P8" i="20" l="1"/>
  <c r="K14" i="20"/>
  <c r="K7" i="20"/>
  <c r="P14" i="20" l="1"/>
  <c r="P7" i="20"/>
  <c r="U8" i="20"/>
  <c r="U14" i="20" l="1"/>
  <c r="U7" i="20"/>
  <c r="H36" i="8" l="1"/>
  <c r="H35" i="8"/>
  <c r="H44" i="25"/>
  <c r="H43" i="25"/>
  <c r="H38" i="23"/>
  <c r="H69" i="5"/>
  <c r="H68" i="5"/>
  <c r="H78" i="5"/>
  <c r="H76" i="27"/>
  <c r="H34" i="27"/>
  <c r="H38" i="27" l="1"/>
  <c r="H43" i="20"/>
  <c r="H127" i="8"/>
  <c r="H139" i="23"/>
  <c r="H37" i="9"/>
  <c r="H174" i="20"/>
  <c r="H99" i="23"/>
  <c r="H66" i="9"/>
  <c r="H149" i="20"/>
  <c r="H103" i="8"/>
  <c r="H87" i="5"/>
  <c r="H44" i="8"/>
  <c r="H44" i="5"/>
  <c r="H127" i="20"/>
  <c r="H70" i="8"/>
  <c r="H68" i="23"/>
  <c r="H37" i="27"/>
  <c r="H81" i="27"/>
  <c r="H66" i="24"/>
  <c r="H37" i="23"/>
  <c r="H103" i="20"/>
  <c r="H31" i="24"/>
  <c r="H42" i="25"/>
  <c r="H63" i="23"/>
  <c r="H74" i="5"/>
  <c r="H32" i="5"/>
  <c r="H75" i="5"/>
  <c r="H65" i="5"/>
  <c r="H28" i="5"/>
  <c r="H96" i="20"/>
  <c r="H78" i="27"/>
  <c r="H67" i="5"/>
  <c r="H31" i="9"/>
  <c r="H56" i="23"/>
  <c r="H28" i="8"/>
  <c r="H34" i="5"/>
  <c r="H60" i="9"/>
  <c r="H94" i="8"/>
  <c r="H66" i="27"/>
  <c r="H81" i="5"/>
  <c r="H70" i="20"/>
  <c r="H69" i="20" s="1"/>
  <c r="H146" i="20"/>
  <c r="H65" i="23"/>
  <c r="H32" i="27"/>
  <c r="H124" i="20"/>
  <c r="H84" i="5"/>
  <c r="H123" i="8"/>
  <c r="H34" i="9"/>
  <c r="H41" i="5"/>
  <c r="H170" i="20"/>
  <c r="H42" i="8"/>
  <c r="H163" i="23"/>
  <c r="H34" i="23"/>
  <c r="H100" i="20"/>
  <c r="H136" i="23"/>
  <c r="H52" i="23"/>
  <c r="H122" i="20"/>
  <c r="H118" i="8"/>
  <c r="H120" i="23"/>
  <c r="H24" i="23"/>
  <c r="H86" i="23"/>
  <c r="H24" i="9"/>
  <c r="H25" i="8"/>
  <c r="H26" i="5"/>
  <c r="H23" i="24"/>
  <c r="H94" i="20"/>
  <c r="H47" i="24"/>
  <c r="H63" i="5"/>
  <c r="H88" i="8"/>
  <c r="H59" i="8"/>
  <c r="H97" i="8"/>
  <c r="H38" i="5"/>
  <c r="H36" i="25"/>
  <c r="H35" i="25" s="1"/>
  <c r="H71" i="27"/>
  <c r="H70" i="27" s="1"/>
  <c r="H68" i="27" s="1"/>
  <c r="C69" i="27" s="1"/>
  <c r="H69" i="27" l="1"/>
  <c r="C67" i="27" s="1"/>
  <c r="H65" i="9"/>
  <c r="H65" i="24"/>
  <c r="H64" i="24" s="1"/>
  <c r="H63" i="24" s="1"/>
  <c r="H62" i="24" s="1"/>
  <c r="H61" i="24" s="1"/>
  <c r="H60" i="24" s="1"/>
  <c r="H59" i="24" s="1"/>
  <c r="H58" i="24" s="1"/>
  <c r="H43" i="5"/>
  <c r="H126" i="20"/>
  <c r="H43" i="8"/>
  <c r="H67" i="23"/>
  <c r="H148" i="20"/>
  <c r="H145" i="20" s="1"/>
  <c r="H80" i="27"/>
  <c r="H30" i="24"/>
  <c r="H29" i="24" s="1"/>
  <c r="B36" i="24" s="1"/>
  <c r="B13" i="24" s="1"/>
  <c r="H126" i="8"/>
  <c r="H173" i="20"/>
  <c r="H102" i="20"/>
  <c r="H40" i="25"/>
  <c r="H39" i="25" s="1"/>
  <c r="C41" i="25" s="1"/>
  <c r="H41" i="25" s="1"/>
  <c r="H38" i="25" s="1"/>
  <c r="H138" i="23"/>
  <c r="H102" i="8"/>
  <c r="H36" i="27"/>
  <c r="H98" i="23"/>
  <c r="H42" i="20"/>
  <c r="H41" i="20" s="1"/>
  <c r="H40" i="20" s="1"/>
  <c r="H39" i="20" s="1"/>
  <c r="H86" i="5"/>
  <c r="H36" i="9"/>
  <c r="H69" i="8"/>
  <c r="H36" i="23"/>
  <c r="H29" i="8"/>
  <c r="H30" i="23"/>
  <c r="H29" i="23" s="1"/>
  <c r="H57" i="24"/>
  <c r="H56" i="24" s="1"/>
  <c r="H57" i="23"/>
  <c r="H30" i="25"/>
  <c r="H29" i="25" s="1"/>
  <c r="H125" i="23"/>
  <c r="H124" i="23" s="1"/>
  <c r="H32" i="9"/>
  <c r="H82" i="5"/>
  <c r="H61" i="9"/>
  <c r="H35" i="5"/>
  <c r="H72" i="5"/>
  <c r="H39" i="5"/>
  <c r="H62" i="23"/>
  <c r="H33" i="5"/>
  <c r="H73" i="5"/>
  <c r="H133" i="23"/>
  <c r="H132" i="23" s="1"/>
  <c r="H131" i="23" s="1"/>
  <c r="H94" i="23"/>
  <c r="H93" i="23" s="1"/>
  <c r="H119" i="20"/>
  <c r="H26" i="25"/>
  <c r="H54" i="23"/>
  <c r="H31" i="20"/>
  <c r="H50" i="24"/>
  <c r="H26" i="23"/>
  <c r="H88" i="23"/>
  <c r="H49" i="24"/>
  <c r="H90" i="8"/>
  <c r="H122" i="23"/>
  <c r="H25" i="24"/>
  <c r="H30" i="8"/>
  <c r="H91" i="20"/>
  <c r="H29" i="5"/>
  <c r="H144" i="20"/>
  <c r="H26" i="9"/>
  <c r="H120" i="8"/>
  <c r="H61" i="8"/>
  <c r="H70" i="5"/>
  <c r="H28" i="27"/>
  <c r="H52" i="24"/>
  <c r="H64" i="27"/>
  <c r="H34" i="25"/>
  <c r="H24" i="24"/>
  <c r="H53" i="23"/>
  <c r="H93" i="20"/>
  <c r="H25" i="9"/>
  <c r="H89" i="8"/>
  <c r="H25" i="25"/>
  <c r="H24" i="25" s="1"/>
  <c r="H121" i="20"/>
  <c r="H166" i="20"/>
  <c r="H165" i="20" s="1"/>
  <c r="H66" i="20"/>
  <c r="H65" i="20" s="1"/>
  <c r="H60" i="8"/>
  <c r="H87" i="23"/>
  <c r="H25" i="23"/>
  <c r="H26" i="8"/>
  <c r="H48" i="24"/>
  <c r="H119" i="8"/>
  <c r="H63" i="8"/>
  <c r="H27" i="5"/>
  <c r="H33" i="20"/>
  <c r="H27" i="27"/>
  <c r="H26" i="27" s="1"/>
  <c r="H121" i="23"/>
  <c r="H64" i="5"/>
  <c r="H98" i="8"/>
  <c r="H92" i="8"/>
  <c r="H97" i="20"/>
  <c r="H57" i="9"/>
  <c r="H36" i="5"/>
  <c r="H35" i="20"/>
  <c r="H38" i="20" s="1"/>
  <c r="H37" i="20" s="1"/>
  <c r="H34" i="20" s="1"/>
  <c r="H40" i="27"/>
  <c r="H95" i="23"/>
  <c r="H161" i="23"/>
  <c r="H134" i="23"/>
  <c r="H34" i="8"/>
  <c r="H31" i="23"/>
  <c r="H40" i="8"/>
  <c r="H80" i="5"/>
  <c r="H27" i="24"/>
  <c r="H36" i="20"/>
  <c r="H66" i="8"/>
  <c r="H53" i="24"/>
  <c r="H60" i="23"/>
  <c r="H59" i="23" s="1"/>
  <c r="H98" i="20"/>
  <c r="H128" i="23"/>
  <c r="H127" i="23" s="1"/>
  <c r="H27" i="8"/>
  <c r="H77" i="5"/>
  <c r="H99" i="8"/>
  <c r="H76" i="5"/>
  <c r="H39" i="27" l="1"/>
  <c r="H67" i="27"/>
  <c r="O48" i="5"/>
  <c r="P9" i="24"/>
  <c r="H72" i="9"/>
  <c r="F9" i="9" s="1"/>
  <c r="X9" i="24"/>
  <c r="R9" i="24"/>
  <c r="Q9" i="24"/>
  <c r="V9" i="24"/>
  <c r="J9" i="24"/>
  <c r="K9" i="24"/>
  <c r="H9" i="24"/>
  <c r="T9" i="24"/>
  <c r="U9" i="24"/>
  <c r="S9" i="24"/>
  <c r="W9" i="24"/>
  <c r="M9" i="24"/>
  <c r="I9" i="24"/>
  <c r="N9" i="24"/>
  <c r="O9" i="24"/>
  <c r="L9" i="24"/>
  <c r="H143" i="20"/>
  <c r="H142" i="20" s="1"/>
  <c r="H151" i="20" s="1"/>
  <c r="F12" i="20" s="1"/>
  <c r="H130" i="23"/>
  <c r="H141" i="23" s="1"/>
  <c r="O10" i="23" s="1"/>
  <c r="L17" i="21" s="1"/>
  <c r="Q9" i="23"/>
  <c r="N16" i="21" s="1"/>
  <c r="E17" i="14" s="1"/>
  <c r="O9" i="23"/>
  <c r="L16" i="21" s="1"/>
  <c r="T9" i="23"/>
  <c r="Q16" i="21" s="1"/>
  <c r="P9" i="23"/>
  <c r="M16" i="21" s="1"/>
  <c r="S9" i="23"/>
  <c r="P16" i="21" s="1"/>
  <c r="H9" i="23"/>
  <c r="E16" i="21" s="1"/>
  <c r="N9" i="23"/>
  <c r="K16" i="21" s="1"/>
  <c r="H96" i="8"/>
  <c r="H95" i="8"/>
  <c r="I9" i="23"/>
  <c r="F16" i="21" s="1"/>
  <c r="L9" i="23"/>
  <c r="I16" i="21" s="1"/>
  <c r="U9" i="23"/>
  <c r="R16" i="21" s="1"/>
  <c r="H28" i="25"/>
  <c r="H27" i="25" s="1"/>
  <c r="H121" i="8"/>
  <c r="H129" i="8" s="1"/>
  <c r="H130" i="8" s="1"/>
  <c r="H26" i="24"/>
  <c r="H33" i="24" s="1"/>
  <c r="H168" i="20"/>
  <c r="H167" i="20" s="1"/>
  <c r="H176" i="20" s="1"/>
  <c r="H120" i="20"/>
  <c r="H129" i="20" s="1"/>
  <c r="H62" i="27"/>
  <c r="H61" i="27" s="1"/>
  <c r="H60" i="27" s="1"/>
  <c r="H59" i="27" s="1"/>
  <c r="H58" i="27" s="1"/>
  <c r="H160" i="23"/>
  <c r="H159" i="23" s="1"/>
  <c r="H158" i="23" s="1"/>
  <c r="H157" i="23" s="1"/>
  <c r="H165" i="23" s="1"/>
  <c r="H30" i="5"/>
  <c r="H32" i="20"/>
  <c r="H48" i="20" s="1"/>
  <c r="H92" i="20"/>
  <c r="H106" i="20" s="1"/>
  <c r="I106" i="20" s="1"/>
  <c r="E10" i="20" s="1"/>
  <c r="H123" i="23"/>
  <c r="H55" i="23"/>
  <c r="H71" i="23" s="1"/>
  <c r="H30" i="27"/>
  <c r="H29" i="27" s="1"/>
  <c r="H51" i="24"/>
  <c r="H62" i="8"/>
  <c r="H73" i="8" s="1"/>
  <c r="H71" i="5"/>
  <c r="H89" i="5" s="1"/>
  <c r="H91" i="8"/>
  <c r="H27" i="9"/>
  <c r="H40" i="9" s="1"/>
  <c r="H68" i="20"/>
  <c r="H67" i="20" s="1"/>
  <c r="H73" i="20" s="1"/>
  <c r="H31" i="8"/>
  <c r="H46" i="8" s="1"/>
  <c r="H27" i="23"/>
  <c r="M9" i="23"/>
  <c r="J16" i="21" s="1"/>
  <c r="X9" i="23"/>
  <c r="U16" i="21" s="1"/>
  <c r="R9" i="23"/>
  <c r="O16" i="21" s="1"/>
  <c r="H33" i="25"/>
  <c r="H32" i="25" s="1"/>
  <c r="H31" i="25" s="1"/>
  <c r="H90" i="23"/>
  <c r="H65" i="27"/>
  <c r="H31" i="5"/>
  <c r="H55" i="24"/>
  <c r="H28" i="23"/>
  <c r="K9" i="23"/>
  <c r="H16" i="21" s="1"/>
  <c r="H92" i="23"/>
  <c r="H91" i="23" s="1"/>
  <c r="H73" i="23"/>
  <c r="J8" i="23" s="1"/>
  <c r="G15" i="21" s="1"/>
  <c r="V9" i="23"/>
  <c r="S16" i="21" s="1"/>
  <c r="W9" i="23"/>
  <c r="T16" i="21" s="1"/>
  <c r="J9" i="23"/>
  <c r="G16" i="21" s="1"/>
  <c r="D17" i="14" l="1"/>
  <c r="Q7" i="24"/>
  <c r="H43" i="27"/>
  <c r="H8" i="27" s="1"/>
  <c r="H74" i="9"/>
  <c r="J9" i="9" s="1"/>
  <c r="H73" i="9"/>
  <c r="I72" i="9"/>
  <c r="E9" i="9" s="1"/>
  <c r="P10" i="23"/>
  <c r="M17" i="21" s="1"/>
  <c r="O7" i="24"/>
  <c r="K7" i="24"/>
  <c r="G12" i="20"/>
  <c r="I7" i="24"/>
  <c r="M7" i="24"/>
  <c r="R7" i="24"/>
  <c r="E12" i="20"/>
  <c r="H140" i="23"/>
  <c r="F10" i="23" s="1"/>
  <c r="C17" i="21" s="1"/>
  <c r="H105" i="8"/>
  <c r="F10" i="8" s="1"/>
  <c r="C27" i="21" s="1"/>
  <c r="H46" i="5"/>
  <c r="K8" i="5" s="1"/>
  <c r="H46" i="25"/>
  <c r="G8" i="25" s="1"/>
  <c r="H70" i="24"/>
  <c r="H83" i="27"/>
  <c r="W9" i="27" s="1"/>
  <c r="H89" i="23"/>
  <c r="H100" i="23" s="1"/>
  <c r="I71" i="23"/>
  <c r="E8" i="23" s="1"/>
  <c r="B15" i="21" s="1"/>
  <c r="F8" i="23"/>
  <c r="C15" i="21" s="1"/>
  <c r="K8" i="23"/>
  <c r="H15" i="21" s="1"/>
  <c r="F8" i="20"/>
  <c r="I48" i="20"/>
  <c r="E8" i="20" s="1"/>
  <c r="F11" i="8"/>
  <c r="C28" i="21" s="1"/>
  <c r="I129" i="8"/>
  <c r="E11" i="8" s="1"/>
  <c r="B28" i="21" s="1"/>
  <c r="G9" i="9"/>
  <c r="F9" i="8"/>
  <c r="C26" i="21" s="1"/>
  <c r="I73" i="8"/>
  <c r="I165" i="23"/>
  <c r="E11" i="23" s="1"/>
  <c r="B18" i="21" s="1"/>
  <c r="H11" i="23"/>
  <c r="E18" i="21" s="1"/>
  <c r="G11" i="23"/>
  <c r="D18" i="21" s="1"/>
  <c r="I11" i="23"/>
  <c r="F18" i="21" s="1"/>
  <c r="H166" i="23"/>
  <c r="F11" i="23"/>
  <c r="C18" i="21" s="1"/>
  <c r="J11" i="23"/>
  <c r="G18" i="21" s="1"/>
  <c r="H39" i="23"/>
  <c r="H90" i="5"/>
  <c r="I89" i="5"/>
  <c r="E9" i="5" s="1"/>
  <c r="F9" i="5"/>
  <c r="G9" i="5"/>
  <c r="F8" i="8"/>
  <c r="C25" i="21" s="1"/>
  <c r="I46" i="8"/>
  <c r="E8" i="8" s="1"/>
  <c r="B25" i="21" s="1"/>
  <c r="I129" i="20"/>
  <c r="E11" i="20" s="1"/>
  <c r="T11" i="20"/>
  <c r="O11" i="20"/>
  <c r="J11" i="20"/>
  <c r="I73" i="20"/>
  <c r="E9" i="20" s="1"/>
  <c r="T9" i="20"/>
  <c r="O9" i="20"/>
  <c r="J9" i="20"/>
  <c r="X9" i="20"/>
  <c r="E13" i="20"/>
  <c r="G13" i="20"/>
  <c r="F13" i="20"/>
  <c r="I40" i="9"/>
  <c r="E8" i="9" s="1"/>
  <c r="J8" i="9"/>
  <c r="H8" i="9"/>
  <c r="K8" i="9"/>
  <c r="G8" i="9"/>
  <c r="I8" i="9"/>
  <c r="F8" i="9"/>
  <c r="F10" i="20"/>
  <c r="G8" i="24"/>
  <c r="H34" i="24"/>
  <c r="F8" i="24"/>
  <c r="C29" i="14" l="1"/>
  <c r="C19" i="14"/>
  <c r="K9" i="9"/>
  <c r="H44" i="27"/>
  <c r="E8" i="27" s="1"/>
  <c r="I8" i="27"/>
  <c r="G8" i="27"/>
  <c r="F8" i="27"/>
  <c r="Y12" i="20"/>
  <c r="Q10" i="23"/>
  <c r="N17" i="21" s="1"/>
  <c r="I105" i="8"/>
  <c r="E10" i="8" s="1"/>
  <c r="B27" i="21" s="1"/>
  <c r="G10" i="8"/>
  <c r="D27" i="21" s="1"/>
  <c r="I140" i="23"/>
  <c r="E10" i="23" s="1"/>
  <c r="B17" i="21" s="1"/>
  <c r="I70" i="24"/>
  <c r="F9" i="24"/>
  <c r="S7" i="24"/>
  <c r="K8" i="25"/>
  <c r="I8" i="5"/>
  <c r="F8" i="5"/>
  <c r="I46" i="5"/>
  <c r="E8" i="5" s="1"/>
  <c r="W8" i="25"/>
  <c r="J8" i="5"/>
  <c r="F8" i="25"/>
  <c r="T8" i="25"/>
  <c r="N9" i="27"/>
  <c r="H47" i="25"/>
  <c r="E8" i="25" s="1"/>
  <c r="N8" i="25"/>
  <c r="H84" i="27"/>
  <c r="E9" i="27" s="1"/>
  <c r="Q8" i="25"/>
  <c r="T9" i="27"/>
  <c r="F9" i="27"/>
  <c r="Q9" i="27"/>
  <c r="G9" i="27"/>
  <c r="K9" i="27"/>
  <c r="Y9" i="20"/>
  <c r="U11" i="23"/>
  <c r="R18" i="21" s="1"/>
  <c r="M11" i="23"/>
  <c r="J18" i="21" s="1"/>
  <c r="K11" i="23"/>
  <c r="H18" i="21" s="1"/>
  <c r="N11" i="23"/>
  <c r="K18" i="21" s="1"/>
  <c r="S11" i="23"/>
  <c r="P18" i="21" s="1"/>
  <c r="X11" i="23"/>
  <c r="U18" i="21" s="1"/>
  <c r="L11" i="23"/>
  <c r="I18" i="21" s="1"/>
  <c r="Q11" i="23"/>
  <c r="N18" i="21" s="1"/>
  <c r="O11" i="23"/>
  <c r="L18" i="21" s="1"/>
  <c r="T11" i="23"/>
  <c r="Q18" i="21" s="1"/>
  <c r="W11" i="23"/>
  <c r="T18" i="21" s="1"/>
  <c r="P11" i="23"/>
  <c r="M18" i="21" s="1"/>
  <c r="R11" i="23"/>
  <c r="O18" i="21" s="1"/>
  <c r="V11" i="23"/>
  <c r="S18" i="21" s="1"/>
  <c r="G10" i="9"/>
  <c r="G7" i="20"/>
  <c r="E7" i="20"/>
  <c r="E14" i="20"/>
  <c r="Y8" i="20"/>
  <c r="J10" i="9"/>
  <c r="J7" i="9"/>
  <c r="J10" i="20"/>
  <c r="E10" i="9"/>
  <c r="E7" i="9"/>
  <c r="Y11" i="20"/>
  <c r="H40" i="23"/>
  <c r="I40" i="23" s="1"/>
  <c r="F7" i="23"/>
  <c r="I39" i="23"/>
  <c r="E7" i="23" s="1"/>
  <c r="E9" i="8"/>
  <c r="B26" i="21" s="1"/>
  <c r="L8" i="23"/>
  <c r="I15" i="21" s="1"/>
  <c r="F9" i="23"/>
  <c r="C16" i="21" s="1"/>
  <c r="I100" i="23"/>
  <c r="G11" i="8"/>
  <c r="D28" i="21" s="1"/>
  <c r="F14" i="20"/>
  <c r="F7" i="20"/>
  <c r="O14" i="20"/>
  <c r="O7" i="20"/>
  <c r="W7" i="27"/>
  <c r="G9" i="8"/>
  <c r="D26" i="21" s="1"/>
  <c r="G7" i="25"/>
  <c r="I7" i="27"/>
  <c r="L8" i="24"/>
  <c r="N8" i="24"/>
  <c r="H8" i="24"/>
  <c r="E8" i="24"/>
  <c r="B20" i="21" s="1"/>
  <c r="J8" i="24"/>
  <c r="P8" i="24"/>
  <c r="L8" i="9"/>
  <c r="K7" i="9"/>
  <c r="K10" i="9"/>
  <c r="Y13" i="20"/>
  <c r="G14" i="20"/>
  <c r="G10" i="23"/>
  <c r="D17" i="21" s="1"/>
  <c r="L9" i="9"/>
  <c r="F10" i="9"/>
  <c r="F7" i="9"/>
  <c r="T14" i="20"/>
  <c r="T7" i="20"/>
  <c r="G8" i="8"/>
  <c r="D25" i="21" s="1"/>
  <c r="F12" i="8"/>
  <c r="F7" i="8"/>
  <c r="C24" i="21" s="1"/>
  <c r="H9" i="5"/>
  <c r="G7" i="9"/>
  <c r="H9" i="9"/>
  <c r="G8" i="23"/>
  <c r="D15" i="21" s="1"/>
  <c r="C26" i="14" l="1"/>
  <c r="C27" i="14"/>
  <c r="D19" i="14"/>
  <c r="B14" i="21"/>
  <c r="F6" i="23"/>
  <c r="C13" i="21" s="1"/>
  <c r="C14" i="21"/>
  <c r="E19" i="14"/>
  <c r="E7" i="5"/>
  <c r="H8" i="5"/>
  <c r="J14" i="20"/>
  <c r="T7" i="27"/>
  <c r="J126" i="30"/>
  <c r="W7" i="25"/>
  <c r="Y11" i="23"/>
  <c r="N7" i="27"/>
  <c r="Q7" i="27"/>
  <c r="J118" i="30"/>
  <c r="K7" i="25"/>
  <c r="J8" i="27"/>
  <c r="R10" i="23"/>
  <c r="O17" i="21" s="1"/>
  <c r="K7" i="27"/>
  <c r="G8" i="5"/>
  <c r="L8" i="5"/>
  <c r="H8" i="25"/>
  <c r="E10" i="5"/>
  <c r="F7" i="5"/>
  <c r="C6" i="21" s="1"/>
  <c r="F7" i="24"/>
  <c r="T7" i="25"/>
  <c r="E12" i="8"/>
  <c r="N7" i="25"/>
  <c r="H10" i="8"/>
  <c r="E27" i="21" s="1"/>
  <c r="C28" i="14" s="1"/>
  <c r="G7" i="27"/>
  <c r="E9" i="24"/>
  <c r="G9" i="24"/>
  <c r="T7" i="24"/>
  <c r="F10" i="5"/>
  <c r="F7" i="25"/>
  <c r="F7" i="27"/>
  <c r="E7" i="8"/>
  <c r="B24" i="21" s="1"/>
  <c r="Q7" i="25"/>
  <c r="H9" i="27"/>
  <c r="J7" i="24"/>
  <c r="Y8" i="24"/>
  <c r="M8" i="23"/>
  <c r="J15" i="21" s="1"/>
  <c r="G12" i="8"/>
  <c r="H8" i="8"/>
  <c r="E25" i="21" s="1"/>
  <c r="G7" i="8"/>
  <c r="D24" i="21" s="1"/>
  <c r="L10" i="9"/>
  <c r="M9" i="9"/>
  <c r="N7" i="24"/>
  <c r="K11" i="8"/>
  <c r="H28" i="21" s="1"/>
  <c r="E9" i="23"/>
  <c r="B16" i="21" s="1"/>
  <c r="G9" i="23"/>
  <c r="D16" i="21" s="1"/>
  <c r="H8" i="23"/>
  <c r="E15" i="21" s="1"/>
  <c r="C16" i="14" s="1"/>
  <c r="I9" i="9"/>
  <c r="L7" i="24"/>
  <c r="H7" i="9"/>
  <c r="B6" i="21"/>
  <c r="H7" i="24"/>
  <c r="E7" i="27"/>
  <c r="M8" i="9"/>
  <c r="L7" i="9"/>
  <c r="H9" i="8"/>
  <c r="E26" i="21" s="1"/>
  <c r="H10" i="9"/>
  <c r="I9" i="5"/>
  <c r="E7" i="25"/>
  <c r="H10" i="23"/>
  <c r="E17" i="21" s="1"/>
  <c r="C18" i="14" s="1"/>
  <c r="F12" i="23"/>
  <c r="G7" i="23"/>
  <c r="P7" i="24"/>
  <c r="J7" i="23"/>
  <c r="K7" i="23"/>
  <c r="J7" i="20"/>
  <c r="N10" i="20"/>
  <c r="V18" i="21" l="1"/>
  <c r="B19" i="14" s="1"/>
  <c r="B18" i="36" s="1"/>
  <c r="J53" i="30"/>
  <c r="G14" i="21"/>
  <c r="G6" i="23"/>
  <c r="D13" i="21" s="1"/>
  <c r="D14" i="21"/>
  <c r="H14" i="21"/>
  <c r="C17" i="14"/>
  <c r="E6" i="23"/>
  <c r="B13" i="21" s="1"/>
  <c r="J60" i="30"/>
  <c r="Y9" i="23"/>
  <c r="V16" i="21" s="1"/>
  <c r="B17" i="14" s="1"/>
  <c r="B16" i="36" s="1"/>
  <c r="H10" i="5"/>
  <c r="G7" i="5"/>
  <c r="D6" i="21" s="1"/>
  <c r="S10" i="23"/>
  <c r="P17" i="21" s="1"/>
  <c r="H7" i="5"/>
  <c r="E6" i="21" s="1"/>
  <c r="C7" i="14" s="1"/>
  <c r="C42" i="21"/>
  <c r="E7" i="24"/>
  <c r="Y8" i="27"/>
  <c r="J7" i="27"/>
  <c r="Y8" i="25"/>
  <c r="M8" i="5"/>
  <c r="H7" i="25"/>
  <c r="G10" i="5"/>
  <c r="I10" i="8"/>
  <c r="F27" i="21" s="1"/>
  <c r="G7" i="24"/>
  <c r="Y9" i="24"/>
  <c r="U7" i="24"/>
  <c r="Y9" i="27"/>
  <c r="H7" i="27"/>
  <c r="E12" i="23"/>
  <c r="G12" i="23"/>
  <c r="H7" i="23"/>
  <c r="H12" i="8"/>
  <c r="H7" i="8"/>
  <c r="E24" i="21" s="1"/>
  <c r="C25" i="14" s="1"/>
  <c r="I8" i="8"/>
  <c r="F25" i="21" s="1"/>
  <c r="I8" i="23"/>
  <c r="F15" i="21" s="1"/>
  <c r="N8" i="9"/>
  <c r="M7" i="9"/>
  <c r="O11" i="8"/>
  <c r="L28" i="21" s="1"/>
  <c r="D29" i="14" s="1"/>
  <c r="J9" i="5"/>
  <c r="I7" i="5"/>
  <c r="F6" i="21" s="1"/>
  <c r="I10" i="5"/>
  <c r="S10" i="20"/>
  <c r="N7" i="20"/>
  <c r="N14" i="20"/>
  <c r="M10" i="9"/>
  <c r="N9" i="9"/>
  <c r="L7" i="23"/>
  <c r="I9" i="8"/>
  <c r="F26" i="21" s="1"/>
  <c r="N8" i="23"/>
  <c r="K15" i="21" s="1"/>
  <c r="I10" i="23"/>
  <c r="F17" i="21" s="1"/>
  <c r="I7" i="9"/>
  <c r="I10" i="9"/>
  <c r="H18" i="36" l="1"/>
  <c r="G18" i="36"/>
  <c r="F18" i="36"/>
  <c r="H16" i="36"/>
  <c r="G16" i="36"/>
  <c r="F16" i="36"/>
  <c r="C14" i="14"/>
  <c r="I14" i="21"/>
  <c r="H6" i="23"/>
  <c r="E13" i="21" s="1"/>
  <c r="E42" i="21" s="1"/>
  <c r="E14" i="21"/>
  <c r="C15" i="14" s="1"/>
  <c r="B42" i="21"/>
  <c r="J103" i="30"/>
  <c r="J70" i="30"/>
  <c r="J111" i="30"/>
  <c r="T10" i="23"/>
  <c r="Q17" i="21" s="1"/>
  <c r="J42" i="30"/>
  <c r="J63" i="30"/>
  <c r="N8" i="5"/>
  <c r="Y7" i="25"/>
  <c r="J10" i="8"/>
  <c r="G27" i="21" s="1"/>
  <c r="Y7" i="27"/>
  <c r="V7" i="24"/>
  <c r="H12" i="23"/>
  <c r="I7" i="23"/>
  <c r="O8" i="23"/>
  <c r="L15" i="21" s="1"/>
  <c r="J9" i="8"/>
  <c r="G26" i="21" s="1"/>
  <c r="X10" i="20"/>
  <c r="S14" i="20"/>
  <c r="S7" i="20"/>
  <c r="I7" i="8"/>
  <c r="F24" i="21" s="1"/>
  <c r="I12" i="8"/>
  <c r="J8" i="8"/>
  <c r="G25" i="21" s="1"/>
  <c r="N10" i="9"/>
  <c r="O9" i="9"/>
  <c r="S11" i="8"/>
  <c r="P28" i="21" s="1"/>
  <c r="O8" i="9"/>
  <c r="N7" i="9"/>
  <c r="O8" i="5"/>
  <c r="D42" i="21"/>
  <c r="J10" i="23"/>
  <c r="M7" i="23"/>
  <c r="J10" i="5"/>
  <c r="K9" i="5"/>
  <c r="J7" i="5"/>
  <c r="N16" i="36" l="1"/>
  <c r="P16" i="36"/>
  <c r="O16" i="36"/>
  <c r="M16" i="36"/>
  <c r="C43" i="14"/>
  <c r="J14" i="21"/>
  <c r="O18" i="36"/>
  <c r="N18" i="36"/>
  <c r="P18" i="36"/>
  <c r="M18" i="36"/>
  <c r="G17" i="21"/>
  <c r="J6" i="23"/>
  <c r="G13" i="21" s="1"/>
  <c r="F14" i="21"/>
  <c r="I6" i="23"/>
  <c r="F13" i="21" s="1"/>
  <c r="U10" i="23"/>
  <c r="R17" i="21" s="1"/>
  <c r="Y10" i="20"/>
  <c r="K10" i="8"/>
  <c r="H27" i="21" s="1"/>
  <c r="W7" i="24"/>
  <c r="K9" i="8"/>
  <c r="H26" i="21" s="1"/>
  <c r="O7" i="9"/>
  <c r="P9" i="9"/>
  <c r="K8" i="8"/>
  <c r="H25" i="21" s="1"/>
  <c r="J7" i="8"/>
  <c r="G24" i="21" s="1"/>
  <c r="J12" i="8"/>
  <c r="X7" i="20"/>
  <c r="X14" i="20"/>
  <c r="G6" i="21"/>
  <c r="P8" i="5"/>
  <c r="K10" i="23"/>
  <c r="J12" i="23"/>
  <c r="L9" i="5"/>
  <c r="K7" i="5"/>
  <c r="H6" i="21" s="1"/>
  <c r="K10" i="5"/>
  <c r="P8" i="9"/>
  <c r="O10" i="9"/>
  <c r="P8" i="23"/>
  <c r="M15" i="21" s="1"/>
  <c r="D16" i="14" s="1"/>
  <c r="N7" i="23"/>
  <c r="W11" i="8"/>
  <c r="T28" i="21" s="1"/>
  <c r="E29" i="14" s="1"/>
  <c r="I12" i="23"/>
  <c r="V10" i="23" l="1"/>
  <c r="S17" i="21" s="1"/>
  <c r="K14" i="21"/>
  <c r="H17" i="21"/>
  <c r="K6" i="23"/>
  <c r="H13" i="21" s="1"/>
  <c r="L10" i="8"/>
  <c r="I27" i="21" s="1"/>
  <c r="Y14" i="20"/>
  <c r="X7" i="24"/>
  <c r="Y7" i="20"/>
  <c r="Y11" i="8"/>
  <c r="V28" i="21" s="1"/>
  <c r="B29" i="14" s="1"/>
  <c r="B28" i="36" s="1"/>
  <c r="O7" i="23"/>
  <c r="L10" i="23"/>
  <c r="K12" i="23"/>
  <c r="K7" i="8"/>
  <c r="H24" i="21" s="1"/>
  <c r="L8" i="8"/>
  <c r="I25" i="21" s="1"/>
  <c r="K12" i="8"/>
  <c r="P10" i="9"/>
  <c r="Q9" i="9"/>
  <c r="M9" i="5"/>
  <c r="L7" i="5"/>
  <c r="I6" i="21" s="1"/>
  <c r="L10" i="5"/>
  <c r="F42" i="21"/>
  <c r="L9" i="8"/>
  <c r="I26" i="21" s="1"/>
  <c r="Q8" i="23"/>
  <c r="N15" i="21" s="1"/>
  <c r="Q8" i="9"/>
  <c r="P7" i="9"/>
  <c r="W10" i="23"/>
  <c r="T17" i="21" s="1"/>
  <c r="Q8" i="5"/>
  <c r="G42" i="21"/>
  <c r="H28" i="36" l="1"/>
  <c r="F28" i="36"/>
  <c r="G28" i="36"/>
  <c r="O6" i="23"/>
  <c r="L13" i="21" s="1"/>
  <c r="L14" i="21"/>
  <c r="I17" i="21"/>
  <c r="L6" i="23"/>
  <c r="I13" i="21" s="1"/>
  <c r="M10" i="8"/>
  <c r="J27" i="21" s="1"/>
  <c r="J90" i="30"/>
  <c r="Y7" i="24"/>
  <c r="R8" i="9"/>
  <c r="Q7" i="9"/>
  <c r="N9" i="5"/>
  <c r="M7" i="5"/>
  <c r="J6" i="21" s="1"/>
  <c r="M10" i="5"/>
  <c r="Q10" i="9"/>
  <c r="R9" i="9"/>
  <c r="Q7" i="23"/>
  <c r="P7" i="23"/>
  <c r="O12" i="23"/>
  <c r="M10" i="23"/>
  <c r="L12" i="23"/>
  <c r="R8" i="5"/>
  <c r="H42" i="21"/>
  <c r="X10" i="23"/>
  <c r="U17" i="21" s="1"/>
  <c r="E18" i="14" s="1"/>
  <c r="R8" i="23"/>
  <c r="O15" i="21" s="1"/>
  <c r="M9" i="8"/>
  <c r="J26" i="21" s="1"/>
  <c r="L7" i="8"/>
  <c r="I24" i="21" s="1"/>
  <c r="M8" i="8"/>
  <c r="J25" i="21" s="1"/>
  <c r="L12" i="8"/>
  <c r="M28" i="36" l="1"/>
  <c r="N28" i="36"/>
  <c r="P28" i="36"/>
  <c r="O28" i="36"/>
  <c r="J17" i="21"/>
  <c r="M6" i="23"/>
  <c r="J13" i="21" s="1"/>
  <c r="N14" i="21"/>
  <c r="Q6" i="23"/>
  <c r="N13" i="21" s="1"/>
  <c r="P6" i="23"/>
  <c r="M13" i="21" s="1"/>
  <c r="M14" i="21"/>
  <c r="D15" i="14" s="1"/>
  <c r="N10" i="8"/>
  <c r="K27" i="21" s="1"/>
  <c r="T7" i="23"/>
  <c r="P12" i="23"/>
  <c r="N9" i="8"/>
  <c r="K26" i="21" s="1"/>
  <c r="Q12" i="23"/>
  <c r="R7" i="23"/>
  <c r="O9" i="5"/>
  <c r="N10" i="5"/>
  <c r="N7" i="5"/>
  <c r="K6" i="21" s="1"/>
  <c r="S9" i="9"/>
  <c r="S8" i="5"/>
  <c r="S8" i="23"/>
  <c r="P15" i="21" s="1"/>
  <c r="M12" i="8"/>
  <c r="M7" i="8"/>
  <c r="J24" i="21" s="1"/>
  <c r="N8" i="8"/>
  <c r="K25" i="21" s="1"/>
  <c r="N10" i="23"/>
  <c r="M12" i="23"/>
  <c r="I42" i="21"/>
  <c r="S8" i="9"/>
  <c r="R7" i="9"/>
  <c r="R10" i="9"/>
  <c r="K17" i="21" l="1"/>
  <c r="D18" i="14" s="1"/>
  <c r="N6" i="23"/>
  <c r="K13" i="21" s="1"/>
  <c r="D14" i="14" s="1"/>
  <c r="O14" i="21"/>
  <c r="R6" i="23"/>
  <c r="O13" i="21" s="1"/>
  <c r="Q14" i="21"/>
  <c r="O10" i="8"/>
  <c r="L27" i="21" s="1"/>
  <c r="Y10" i="23"/>
  <c r="V17" i="21" s="1"/>
  <c r="B18" i="14" s="1"/>
  <c r="B17" i="36" s="1"/>
  <c r="S7" i="23"/>
  <c r="R12" i="23"/>
  <c r="U7" i="23"/>
  <c r="T8" i="9"/>
  <c r="S10" i="9"/>
  <c r="T8" i="5"/>
  <c r="N12" i="23"/>
  <c r="S7" i="9"/>
  <c r="T9" i="9"/>
  <c r="O9" i="8"/>
  <c r="L26" i="21" s="1"/>
  <c r="J42" i="21"/>
  <c r="P9" i="5"/>
  <c r="O10" i="5"/>
  <c r="O7" i="5"/>
  <c r="L6" i="21" s="1"/>
  <c r="T8" i="23"/>
  <c r="Q15" i="21" s="1"/>
  <c r="N12" i="8"/>
  <c r="O8" i="8"/>
  <c r="L25" i="21" s="1"/>
  <c r="N7" i="8"/>
  <c r="K24" i="21" s="1"/>
  <c r="P10" i="8" l="1"/>
  <c r="M27" i="21" s="1"/>
  <c r="D28" i="14" s="1"/>
  <c r="P14" i="21"/>
  <c r="S6" i="23"/>
  <c r="P13" i="21" s="1"/>
  <c r="R14" i="21"/>
  <c r="H17" i="36"/>
  <c r="G17" i="36"/>
  <c r="F17" i="36"/>
  <c r="T6" i="23"/>
  <c r="Q13" i="21" s="1"/>
  <c r="J47" i="30"/>
  <c r="U8" i="23"/>
  <c r="R15" i="21" s="1"/>
  <c r="V7" i="23"/>
  <c r="K42" i="21"/>
  <c r="U8" i="5"/>
  <c r="X7" i="23"/>
  <c r="S12" i="23"/>
  <c r="Q9" i="5"/>
  <c r="P10" i="5"/>
  <c r="P7" i="5"/>
  <c r="M6" i="21" s="1"/>
  <c r="P9" i="8"/>
  <c r="M26" i="21" s="1"/>
  <c r="D27" i="14" s="1"/>
  <c r="U8" i="9"/>
  <c r="T10" i="9"/>
  <c r="T7" i="9"/>
  <c r="P8" i="8"/>
  <c r="M25" i="21" s="1"/>
  <c r="D26" i="14" s="1"/>
  <c r="O12" i="8"/>
  <c r="O7" i="8"/>
  <c r="L24" i="21" s="1"/>
  <c r="Q10" i="8"/>
  <c r="N27" i="21" s="1"/>
  <c r="U9" i="9"/>
  <c r="T12" i="23"/>
  <c r="U14" i="21" l="1"/>
  <c r="O17" i="36"/>
  <c r="M17" i="36"/>
  <c r="N17" i="36"/>
  <c r="P17" i="36"/>
  <c r="S14" i="21"/>
  <c r="U6" i="23"/>
  <c r="R13" i="21" s="1"/>
  <c r="W7" i="23"/>
  <c r="U7" i="9"/>
  <c r="V9" i="9"/>
  <c r="P7" i="8"/>
  <c r="M24" i="21" s="1"/>
  <c r="D25" i="14" s="1"/>
  <c r="Q8" i="8"/>
  <c r="N25" i="21" s="1"/>
  <c r="P12" i="8"/>
  <c r="D7" i="14"/>
  <c r="L42" i="21"/>
  <c r="V8" i="23"/>
  <c r="S15" i="21" s="1"/>
  <c r="Q9" i="8"/>
  <c r="N26" i="21" s="1"/>
  <c r="R9" i="5"/>
  <c r="Q10" i="5"/>
  <c r="Q7" i="5"/>
  <c r="N6" i="21" s="1"/>
  <c r="V8" i="5"/>
  <c r="R10" i="8"/>
  <c r="O27" i="21" s="1"/>
  <c r="V8" i="9"/>
  <c r="U10" i="9"/>
  <c r="U12" i="23"/>
  <c r="V6" i="23" l="1"/>
  <c r="S13" i="21" s="1"/>
  <c r="T14" i="21"/>
  <c r="E15" i="14" s="1"/>
  <c r="Y7" i="23"/>
  <c r="W8" i="9"/>
  <c r="V10" i="9"/>
  <c r="V7" i="9"/>
  <c r="W9" i="9"/>
  <c r="S10" i="8"/>
  <c r="P27" i="21" s="1"/>
  <c r="S9" i="5"/>
  <c r="R10" i="5"/>
  <c r="R7" i="5"/>
  <c r="O6" i="21" s="1"/>
  <c r="R8" i="8"/>
  <c r="O25" i="21" s="1"/>
  <c r="Q12" i="8"/>
  <c r="Q7" i="8"/>
  <c r="N24" i="21" s="1"/>
  <c r="R9" i="8"/>
  <c r="O26" i="21" s="1"/>
  <c r="W8" i="5"/>
  <c r="W8" i="23"/>
  <c r="T15" i="21" s="1"/>
  <c r="M42" i="21"/>
  <c r="D43" i="14" s="1"/>
  <c r="V12" i="23"/>
  <c r="V14" i="21" l="1"/>
  <c r="B15" i="14" s="1"/>
  <c r="B14" i="36" s="1"/>
  <c r="W6" i="23"/>
  <c r="T13" i="21" s="1"/>
  <c r="J35" i="30"/>
  <c r="N42" i="21"/>
  <c r="T9" i="5"/>
  <c r="S7" i="5"/>
  <c r="P6" i="21" s="1"/>
  <c r="S10" i="5"/>
  <c r="S8" i="8"/>
  <c r="P25" i="21" s="1"/>
  <c r="R7" i="8"/>
  <c r="O24" i="21" s="1"/>
  <c r="R12" i="8"/>
  <c r="T10" i="8"/>
  <c r="Q27" i="21" s="1"/>
  <c r="X8" i="23"/>
  <c r="X8" i="9"/>
  <c r="W10" i="9"/>
  <c r="X8" i="5"/>
  <c r="W7" i="9"/>
  <c r="X9" i="9"/>
  <c r="W12" i="23"/>
  <c r="S9" i="8"/>
  <c r="P26" i="21" s="1"/>
  <c r="H14" i="36" l="1"/>
  <c r="F14" i="36"/>
  <c r="G14" i="36"/>
  <c r="U15" i="21"/>
  <c r="E16" i="14" s="1"/>
  <c r="X6" i="23"/>
  <c r="U13" i="21" s="1"/>
  <c r="E14" i="14" s="1"/>
  <c r="Y8" i="23"/>
  <c r="Y8" i="5"/>
  <c r="X12" i="23"/>
  <c r="U10" i="8"/>
  <c r="R27" i="21" s="1"/>
  <c r="U9" i="5"/>
  <c r="T7" i="5"/>
  <c r="Q6" i="21" s="1"/>
  <c r="T10" i="5"/>
  <c r="X7" i="9"/>
  <c r="Y9" i="9"/>
  <c r="T9" i="8"/>
  <c r="Q26" i="21" s="1"/>
  <c r="X10" i="9"/>
  <c r="Y8" i="9"/>
  <c r="O42" i="21"/>
  <c r="S12" i="8"/>
  <c r="T8" i="8"/>
  <c r="Q25" i="21" s="1"/>
  <c r="S7" i="8"/>
  <c r="P24" i="21" s="1"/>
  <c r="V15" i="21" l="1"/>
  <c r="B16" i="14" s="1"/>
  <c r="B15" i="36" s="1"/>
  <c r="Y6" i="23"/>
  <c r="O14" i="36"/>
  <c r="N14" i="36"/>
  <c r="M14" i="36"/>
  <c r="P14" i="36"/>
  <c r="J39" i="30"/>
  <c r="J99" i="30"/>
  <c r="J2" i="30"/>
  <c r="J93" i="30"/>
  <c r="T12" i="8"/>
  <c r="U8" i="8"/>
  <c r="R25" i="21" s="1"/>
  <c r="T7" i="8"/>
  <c r="Q24" i="21" s="1"/>
  <c r="Y12" i="23"/>
  <c r="Y10" i="9"/>
  <c r="V10" i="8"/>
  <c r="S27" i="21" s="1"/>
  <c r="V9" i="5"/>
  <c r="U7" i="5"/>
  <c r="R6" i="21" s="1"/>
  <c r="U10" i="5"/>
  <c r="U9" i="8"/>
  <c r="R26" i="21" s="1"/>
  <c r="V13" i="21"/>
  <c r="B14" i="14" s="1"/>
  <c r="B13" i="36" s="1"/>
  <c r="P42" i="21"/>
  <c r="Y7" i="9"/>
  <c r="H15" i="36" l="1"/>
  <c r="H13" i="36" s="1"/>
  <c r="G15" i="36"/>
  <c r="G13" i="36" s="1"/>
  <c r="F15" i="36"/>
  <c r="V9" i="8"/>
  <c r="S26" i="21" s="1"/>
  <c r="U7" i="8"/>
  <c r="R24" i="21" s="1"/>
  <c r="U12" i="8"/>
  <c r="V8" i="8"/>
  <c r="S25" i="21" s="1"/>
  <c r="Q42" i="21"/>
  <c r="W9" i="5"/>
  <c r="V7" i="5"/>
  <c r="S6" i="21" s="1"/>
  <c r="V10" i="5"/>
  <c r="W10" i="8"/>
  <c r="T27" i="21" s="1"/>
  <c r="E28" i="14" s="1"/>
  <c r="E13" i="36" l="1"/>
  <c r="N15" i="36"/>
  <c r="N13" i="36" s="1"/>
  <c r="M15" i="36"/>
  <c r="M13" i="36" s="1"/>
  <c r="P15" i="36"/>
  <c r="P13" i="36" s="1"/>
  <c r="O15" i="36"/>
  <c r="O13" i="36" s="1"/>
  <c r="F13" i="36"/>
  <c r="D13" i="36"/>
  <c r="Y10" i="8"/>
  <c r="V27" i="21" s="1"/>
  <c r="B28" i="14" s="1"/>
  <c r="B27" i="36" s="1"/>
  <c r="V7" i="8"/>
  <c r="S24" i="21" s="1"/>
  <c r="W8" i="8"/>
  <c r="T25" i="21" s="1"/>
  <c r="V12" i="8"/>
  <c r="R42" i="21"/>
  <c r="W9" i="8"/>
  <c r="T26" i="21" s="1"/>
  <c r="X9" i="5"/>
  <c r="W10" i="5"/>
  <c r="W7" i="5"/>
  <c r="T6" i="21" s="1"/>
  <c r="H27" i="36" l="1"/>
  <c r="F27" i="36"/>
  <c r="G27" i="36"/>
  <c r="K13" i="36"/>
  <c r="L13" i="36"/>
  <c r="C13" i="36"/>
  <c r="J13" i="36"/>
  <c r="I13" i="36"/>
  <c r="J86" i="30"/>
  <c r="X9" i="8"/>
  <c r="U26" i="21" s="1"/>
  <c r="E27" i="14" s="1"/>
  <c r="Y9" i="5"/>
  <c r="X7" i="5"/>
  <c r="X10" i="5"/>
  <c r="S42" i="21"/>
  <c r="W12" i="8"/>
  <c r="X8" i="8"/>
  <c r="U25" i="21" s="1"/>
  <c r="E26" i="14" s="1"/>
  <c r="W7" i="8"/>
  <c r="T24" i="21" s="1"/>
  <c r="M27" i="36" l="1"/>
  <c r="N27" i="36"/>
  <c r="O27" i="36"/>
  <c r="P27" i="36"/>
  <c r="J8" i="30"/>
  <c r="T42" i="21"/>
  <c r="X12" i="8"/>
  <c r="X7" i="8"/>
  <c r="U24" i="21" s="1"/>
  <c r="E25" i="14" s="1"/>
  <c r="Y8" i="8"/>
  <c r="V25" i="21" s="1"/>
  <c r="B26" i="14" s="1"/>
  <c r="B25" i="36" s="1"/>
  <c r="U6" i="21"/>
  <c r="Y7" i="5"/>
  <c r="V6" i="21" s="1"/>
  <c r="Y10" i="5"/>
  <c r="Y9" i="8"/>
  <c r="V26" i="21" s="1"/>
  <c r="B27" i="14" s="1"/>
  <c r="B26" i="36" s="1"/>
  <c r="G25" i="36" l="1"/>
  <c r="G24" i="36" s="1"/>
  <c r="F25" i="36"/>
  <c r="H25" i="36"/>
  <c r="H26" i="36"/>
  <c r="G26" i="36"/>
  <c r="F26" i="36"/>
  <c r="J77" i="30"/>
  <c r="J156" i="30" s="1"/>
  <c r="J82" i="30"/>
  <c r="E7" i="14"/>
  <c r="Y7" i="8"/>
  <c r="V24" i="21" s="1"/>
  <c r="B25" i="14" s="1"/>
  <c r="B24" i="36" s="1"/>
  <c r="Y12" i="8"/>
  <c r="B7" i="14"/>
  <c r="B6" i="36" s="1"/>
  <c r="O26" i="36" l="1"/>
  <c r="M26" i="36"/>
  <c r="N26" i="36"/>
  <c r="P26" i="36"/>
  <c r="D24" i="36"/>
  <c r="G42" i="36"/>
  <c r="G43" i="36" s="1"/>
  <c r="H24" i="36"/>
  <c r="M25" i="36"/>
  <c r="M24" i="36" s="1"/>
  <c r="F24" i="36"/>
  <c r="O25" i="36"/>
  <c r="O24" i="36" s="1"/>
  <c r="N25" i="36"/>
  <c r="N24" i="36" s="1"/>
  <c r="P25" i="36"/>
  <c r="P24" i="36" s="1"/>
  <c r="E6" i="36"/>
  <c r="C6" i="36"/>
  <c r="D6" i="36"/>
  <c r="U42" i="21"/>
  <c r="E43" i="14" s="1"/>
  <c r="V42" i="21"/>
  <c r="L24" i="36" l="1"/>
  <c r="P42" i="36"/>
  <c r="I24" i="36"/>
  <c r="M42" i="36"/>
  <c r="J24" i="36"/>
  <c r="N42" i="36"/>
  <c r="K24" i="36"/>
  <c r="O42" i="36"/>
  <c r="E24" i="36"/>
  <c r="H42" i="36"/>
  <c r="H43" i="36" s="1"/>
  <c r="C24" i="36"/>
  <c r="F42" i="36"/>
  <c r="F43" i="36" s="1"/>
  <c r="W12" i="21"/>
  <c r="B43" i="14"/>
  <c r="B42" i="36" s="1"/>
  <c r="W11" i="21"/>
  <c r="W9" i="21"/>
  <c r="W16" i="21"/>
  <c r="W21" i="21"/>
  <c r="W40" i="21"/>
  <c r="W39" i="21"/>
  <c r="W41" i="21"/>
  <c r="W37" i="21"/>
  <c r="W33" i="21"/>
  <c r="W18" i="21"/>
  <c r="W23" i="21"/>
  <c r="W34" i="21"/>
  <c r="W36" i="21"/>
  <c r="W10" i="21"/>
  <c r="W20" i="21"/>
  <c r="W32" i="21"/>
  <c r="W19" i="21"/>
  <c r="W22" i="21"/>
  <c r="W35" i="21"/>
  <c r="W17" i="21"/>
  <c r="W14" i="21"/>
  <c r="W31" i="21"/>
  <c r="W27" i="21"/>
  <c r="W30" i="21"/>
  <c r="W29" i="21"/>
  <c r="W15" i="21"/>
  <c r="W7" i="21"/>
  <c r="W13" i="21"/>
  <c r="W28" i="21"/>
  <c r="W6" i="21"/>
  <c r="W8" i="21"/>
  <c r="W26" i="21"/>
  <c r="W24" i="21"/>
  <c r="W25" i="21"/>
  <c r="N43" i="36" l="1"/>
  <c r="J42" i="36"/>
  <c r="O43" i="36"/>
  <c r="K42" i="36"/>
  <c r="M43" i="36"/>
  <c r="I42" i="36"/>
  <c r="P43" i="36"/>
  <c r="L42" i="36"/>
  <c r="D42" i="36"/>
  <c r="E42" i="36"/>
  <c r="C42" i="36"/>
  <c r="W42" i="21"/>
  <c r="C44" i="14"/>
  <c r="D44" i="14"/>
  <c r="E44" i="14"/>
</calcChain>
</file>

<file path=xl/sharedStrings.xml><?xml version="1.0" encoding="utf-8"?>
<sst xmlns="http://schemas.openxmlformats.org/spreadsheetml/2006/main" count="2850" uniqueCount="1378">
  <si>
    <t>Instructivo</t>
  </si>
  <si>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</si>
  <si>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</si>
  <si>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</si>
  <si>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</si>
  <si>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Glosario de Categoría de Costos cárnicos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</si>
  <si>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</si>
  <si>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</si>
  <si>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</si>
  <si>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</si>
  <si>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</si>
  <si>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</si>
  <si>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</si>
  <si>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</si>
  <si>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</si>
  <si>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</si>
  <si>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</si>
  <si>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</si>
  <si>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</si>
  <si>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</si>
  <si>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</si>
  <si>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</si>
  <si>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Corto Plazo
 (0 al 4 año)</t>
  </si>
  <si>
    <t>Mediano Plazo
 (5 al 12 año)</t>
  </si>
  <si>
    <t>Largo Plazo
 (13 al 20 año)</t>
  </si>
  <si>
    <t>%</t>
  </si>
  <si>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</si>
  <si>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Programa</t>
  </si>
  <si>
    <t>Proyecto</t>
  </si>
  <si>
    <t>Programación</t>
  </si>
  <si>
    <t>Años en los cuales se ejecutaría cada proyecto</t>
  </si>
  <si>
    <t>0, 1, 2, …20</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</si>
  <si>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</si>
  <si>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</si>
  <si>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</si>
  <si>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</si>
  <si>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</si>
  <si>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</si>
  <si>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implementación del Portafolio de Programas y Proyectos : </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</si>
  <si>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</si>
  <si>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</si>
  <si>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</si>
  <si>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</si>
  <si>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</si>
  <si>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</si>
  <si>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</si>
  <si>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</si>
  <si>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</si>
  <si>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</si>
  <si>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</si>
  <si>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</si>
  <si>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</si>
  <si>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</si>
  <si>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Fuente: Elaboración Propia</t>
  </si>
  <si>
    <t>Valor</t>
  </si>
  <si>
    <t>Unidad</t>
  </si>
  <si>
    <t>Rodamiento</t>
  </si>
  <si>
    <t>Promedio</t>
  </si>
  <si>
    <t>Cantidad</t>
  </si>
  <si>
    <t>Pautas redes sociales</t>
  </si>
  <si>
    <t>Plan de medios radial regional</t>
  </si>
  <si>
    <t>Pautas en redes sociales</t>
  </si>
  <si>
    <r>
      <t xml:space="preserve">Contiene los valores totales en </t>
    </r>
    <r>
      <rPr>
        <b/>
        <sz val="11"/>
        <color theme="1"/>
        <rFont val="Arial"/>
        <family val="2"/>
      </rPr>
      <t xml:space="preserve">pesos </t>
    </r>
    <r>
      <rPr>
        <sz val="12"/>
        <color theme="1"/>
        <rFont val="Arial"/>
        <family val="2"/>
      </rPr>
      <t>constantes de 2022 para cada programa, proyecto  y totales, a partir de la sumatoria horizontal.</t>
    </r>
  </si>
  <si>
    <t>Nombre del programa al que corresponde el programa, se vincula de los nombres de los 10 programas dispuestos en la hoja "Estimación de Costos Anualizada"</t>
  </si>
  <si>
    <t>Contiene los  valores en pesos constantes de 2022 de cada proyecto acorde con los conceptos presupuestados y su ejecución en el tiempo. Estos valores están vinculados desde los cuadros específicos para cada proyecto..</t>
  </si>
  <si>
    <t>30 personas</t>
  </si>
  <si>
    <t xml:space="preserve">Fecha de inicio </t>
  </si>
  <si>
    <t>Por definir</t>
  </si>
  <si>
    <t>Concepto</t>
  </si>
  <si>
    <t>Dedicación</t>
  </si>
  <si>
    <t>Meses</t>
  </si>
  <si>
    <t>Total año</t>
  </si>
  <si>
    <t>Mesas de trabajo</t>
  </si>
  <si>
    <t>Global</t>
  </si>
  <si>
    <t>Mesas de trabajo virtuales</t>
  </si>
  <si>
    <t>Viáticos Internacional</t>
  </si>
  <si>
    <t>Cursos cortos</t>
  </si>
  <si>
    <t>Cursos cortos virtuales</t>
  </si>
  <si>
    <t>Cursos libres virtuales</t>
  </si>
  <si>
    <t>Equipo humano</t>
  </si>
  <si>
    <t>Desplazamientos, viáticos del equipo humano</t>
  </si>
  <si>
    <t>Stand de promoción y divulgación en eventos regionales</t>
  </si>
  <si>
    <t>Campaña publicitaria nacional</t>
  </si>
  <si>
    <t>Ruedas de negocios virtuales</t>
  </si>
  <si>
    <t>Otros mecanismos de posicionamiento</t>
  </si>
  <si>
    <t xml:space="preserve">Total </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</si>
  <si>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</si>
  <si>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 xml:space="preserve">Tabla. Estimación de costos por proyecto (COP del 2022) </t>
  </si>
  <si>
    <t>1. Incremento del consumo de maíz nacional.</t>
  </si>
  <si>
    <t>1.1. Aumento de la participación del maíz nacional en el mercado de consumo animal.</t>
  </si>
  <si>
    <t>Talleres y/o eventos de divulgación nacionales y/o regionales</t>
  </si>
  <si>
    <t>Talleres y/o eventos de divulgación nacionales y/o regionales virtuales</t>
  </si>
  <si>
    <t>Gira técnica</t>
  </si>
  <si>
    <t>Ferias comerciales</t>
  </si>
  <si>
    <t>50 asistentes</t>
  </si>
  <si>
    <t>Por muestra</t>
  </si>
  <si>
    <t>%/dedicación</t>
  </si>
  <si>
    <t>Plataformas de información</t>
  </si>
  <si>
    <t>Otras formas de aumento</t>
  </si>
  <si>
    <t>30 asistentes</t>
  </si>
  <si>
    <t>5 empresas/personas</t>
  </si>
  <si>
    <t>persona/semana</t>
  </si>
  <si>
    <t>Promedio salario</t>
  </si>
  <si>
    <t>Campañas Institucionales</t>
  </si>
  <si>
    <t>EJE ESTRUCTURAL</t>
  </si>
  <si>
    <t>OBJETIVO ESTRATÉGICO</t>
  </si>
  <si>
    <t>PROGRAMA</t>
  </si>
  <si>
    <t>PROYECTO</t>
  </si>
  <si>
    <t xml:space="preserve">EE1. Competitividad, productividad y especialización regional </t>
  </si>
  <si>
    <t>OE1. Fortalecer el mercado y el consumo de maíz.</t>
  </si>
  <si>
    <t>2. Mejoramiento productivo del cultivo de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</si>
  <si>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</si>
  <si>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</si>
  <si>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</si>
  <si>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OE3. Fortalecer la especialización regional</t>
  </si>
  <si>
    <t>3.2. Promoción de la integración y las alianzas estratégicas regionales en la cadena de maíz.</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</si>
  <si>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</si>
  <si>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</si>
  <si>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</si>
  <si>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</si>
  <si>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4.2. Promoción del manejo eficiente del suelo y del agua, en la producción de maíz.</t>
  </si>
  <si>
    <t>OE5. Fortalecer el compromiso ambiental de la cadena.</t>
  </si>
  <si>
    <t>5.1. Mejora del desempeño ambiental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</si>
  <si>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</si>
  <si>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</si>
  <si>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</si>
  <si>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</si>
  <si>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6.2. Contribución al incremento del nivel educativo de los actores vinculados a la cadena.</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</si>
  <si>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</si>
  <si>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</si>
  <si>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</si>
  <si>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</si>
  <si>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</si>
  <si>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</si>
  <si>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</si>
  <si>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</si>
  <si>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8. Fortalecimiento del desarrollo tecnológico y la innovación de la cadena.</t>
  </si>
  <si>
    <t>8.2. Fortalecimiento del talento humano en I+D+i, y en extensionismo agrícola e industrial.</t>
  </si>
  <si>
    <t>OE9. Fortalecer la organización, financiación, seguimiento y control de la cadena.</t>
  </si>
  <si>
    <t>9. Fortalecimiento de la gestión institucional de la cadena de maíz</t>
  </si>
  <si>
    <t>9.1. Fortalecimiento del Sistema de Inspección, Vigilancia y Control para la cadena de maíz.</t>
  </si>
  <si>
    <t>9. Fortalecimiento de la gestión institucional de la cadena de maíz.</t>
  </si>
  <si>
    <t>9.2. Diseño y mejora de los instrumentos de financiamiento, comercialización, gestión de riesgos y empresarización para la cadena de maíz.</t>
  </si>
  <si>
    <t>Por persona</t>
  </si>
  <si>
    <t>Costo anual</t>
  </si>
  <si>
    <t>Persona/promedio/mes</t>
  </si>
  <si>
    <t xml:space="preserve">Talleres y/ o eventos de divulgación nacionales y/o regionales </t>
  </si>
  <si>
    <t>Talleres y/o eventos de divulgación nacional y/o regional virtuales</t>
  </si>
  <si>
    <t>Ferias Comerciales</t>
  </si>
  <si>
    <t>Plataformas/ base de datos</t>
  </si>
  <si>
    <t xml:space="preserve"> Rueda de negocio nacional y regional presencial</t>
  </si>
  <si>
    <t>50 personas</t>
  </si>
  <si>
    <t>5 empresas y/o personas</t>
  </si>
  <si>
    <t>Certificaciones diferenciadoras</t>
  </si>
  <si>
    <t>Campaña publicitaria regional</t>
  </si>
  <si>
    <t>Plan de Medios radial regional</t>
  </si>
  <si>
    <t xml:space="preserve">Cursos cortos </t>
  </si>
  <si>
    <t>Tiquetes y viáticos</t>
  </si>
  <si>
    <t>Equipo en región</t>
  </si>
  <si>
    <t>Mensual</t>
  </si>
  <si>
    <t>Fecha de finalización</t>
  </si>
  <si>
    <t>Mes 12 Año 20</t>
  </si>
  <si>
    <t>Cursos libres</t>
  </si>
  <si>
    <t>Valor Global</t>
  </si>
  <si>
    <t>Por UPA</t>
  </si>
  <si>
    <t>40 personas</t>
  </si>
  <si>
    <t>Desarrolladores de plataformas de mercadeo</t>
  </si>
  <si>
    <t>Incentivo vivienda</t>
  </si>
  <si>
    <t>Incentivo servicios Públicos</t>
  </si>
  <si>
    <t>Valor promedio</t>
  </si>
  <si>
    <t>Valor global</t>
  </si>
  <si>
    <t>Otras formas de promoción</t>
  </si>
  <si>
    <t>Plan de medios regional</t>
  </si>
  <si>
    <t>Material promocional</t>
  </si>
  <si>
    <t>Cursos libres  virtuales</t>
  </si>
  <si>
    <t>Diplomado</t>
  </si>
  <si>
    <t>Diplomado virtual</t>
  </si>
  <si>
    <t>Otras formas de contribución</t>
  </si>
  <si>
    <t>Apoyos tecnológicos</t>
  </si>
  <si>
    <t>Persona/promedio</t>
  </si>
  <si>
    <t>Persona</t>
  </si>
  <si>
    <t>Convenios y Programas</t>
  </si>
  <si>
    <t>Incentivo a las Tics</t>
  </si>
  <si>
    <t>Incentivo conectividad</t>
  </si>
  <si>
    <t>Mes 7 del año 1</t>
  </si>
  <si>
    <t>Mes 12 del año 20</t>
  </si>
  <si>
    <t>Plan radial regional</t>
  </si>
  <si>
    <t>Otras formas de mejora</t>
  </si>
  <si>
    <t>Convenios y programas</t>
  </si>
  <si>
    <t>Incentivo a la formalización</t>
  </si>
  <si>
    <t>Incentivo al emprendimiento</t>
  </si>
  <si>
    <t>Mes 12 del año 19</t>
  </si>
  <si>
    <t>Material de divulgación</t>
  </si>
  <si>
    <t>Otras formas de articulación</t>
  </si>
  <si>
    <t>Desarrolladores de plataformas de información</t>
  </si>
  <si>
    <t>Otras formas de promoción y tenencia</t>
  </si>
  <si>
    <t>Campaña institucional</t>
  </si>
  <si>
    <t xml:space="preserve">Equipo humano </t>
  </si>
  <si>
    <t>Desarrolladores plataformas</t>
  </si>
  <si>
    <t>Viaje  internacional</t>
  </si>
  <si>
    <t>Mercados campesinos/circuitos cortos comercialización</t>
  </si>
  <si>
    <t>Desarrolladores plataforma asistencia técnica</t>
  </si>
  <si>
    <t>Material divulgación y promocional</t>
  </si>
  <si>
    <t>Planes de reconversión productiva</t>
  </si>
  <si>
    <t>Viaje Internacional y viáticos</t>
  </si>
  <si>
    <t xml:space="preserve"> Rueda de negocio nacional y regional virtual</t>
  </si>
  <si>
    <t>Giras técnica</t>
  </si>
  <si>
    <t>20 asistentes</t>
  </si>
  <si>
    <t>Certificadores de producto  cal</t>
  </si>
  <si>
    <t>Plantas productoras</t>
  </si>
  <si>
    <t>Equipo humano nacional</t>
  </si>
  <si>
    <t>5 empresas</t>
  </si>
  <si>
    <t>Material promocional y divulgación</t>
  </si>
  <si>
    <t>Otras formas de implementación</t>
  </si>
  <si>
    <t>Equipo humano  especializados</t>
  </si>
  <si>
    <t>Mes 10 Año 1</t>
  </si>
  <si>
    <t>Valor 1 año</t>
  </si>
  <si>
    <t>Mesas de trabajo virtual</t>
  </si>
  <si>
    <t>Meses/periodicidad</t>
  </si>
  <si>
    <t xml:space="preserve"> Mesas de trabajo presencial</t>
  </si>
  <si>
    <t>Desplazamiento equipo humano</t>
  </si>
  <si>
    <t>Visitas, giras técnicas</t>
  </si>
  <si>
    <t xml:space="preserve">Equipo humano  región </t>
  </si>
  <si>
    <t>Mes 12 año 20</t>
  </si>
  <si>
    <t>Talleres y/ o eventos de divulgación nacionales y/o regionales presenciales</t>
  </si>
  <si>
    <t>Talleres y/ o eventos de divulgación nacionales y/o regionales virtuales</t>
  </si>
  <si>
    <t>Mesas de trabajo presenciales</t>
  </si>
  <si>
    <t>Desplazamiento equipo humano nacional</t>
  </si>
  <si>
    <t>Equipo humano en región</t>
  </si>
  <si>
    <t>Cursos cortos presenciales</t>
  </si>
  <si>
    <t>Rueda de negocio nacional y regional presencial</t>
  </si>
  <si>
    <t xml:space="preserve">Diplomados </t>
  </si>
  <si>
    <t>Diplomados virtual</t>
  </si>
  <si>
    <t>Mesas de trabajo  presenciales</t>
  </si>
  <si>
    <t>Giras técnicas</t>
  </si>
  <si>
    <t>Equipo en Región</t>
  </si>
  <si>
    <t>Incentivo emprendimiento microempresas</t>
  </si>
  <si>
    <t>Incentivo emprendimiento pequeñas</t>
  </si>
  <si>
    <t>Incentivo emprendimiento medianas</t>
  </si>
  <si>
    <t>Empresa</t>
  </si>
  <si>
    <t>Promedio persona</t>
  </si>
  <si>
    <t>Valor anual año 1 al 5</t>
  </si>
  <si>
    <t>Valor anula año 6 a 20</t>
  </si>
  <si>
    <t>Año 1</t>
  </si>
  <si>
    <t>Promedio Persona</t>
  </si>
  <si>
    <t xml:space="preserve">Rueda de negocio nacional y regional presencial </t>
  </si>
  <si>
    <t>Empresa/asociación</t>
  </si>
  <si>
    <t>Valor anual año 1 al 10</t>
  </si>
  <si>
    <t>Valor anula año 11 a 20</t>
  </si>
  <si>
    <t>Mes 4 año 1</t>
  </si>
  <si>
    <t xml:space="preserve">Por definir </t>
  </si>
  <si>
    <t>Mes 1 año 1</t>
  </si>
  <si>
    <t>Talleres y/ o eventos de divulgación nacionales y/o regionales (Productor, transformador, comercialización)</t>
  </si>
  <si>
    <t xml:space="preserve">Global </t>
  </si>
  <si>
    <t>Campaña publicitaria institucional ( Nacional)</t>
  </si>
  <si>
    <t xml:space="preserve">Promedio persona </t>
  </si>
  <si>
    <t xml:space="preserve">Desplazamiento y viáticos Equipo Humano </t>
  </si>
  <si>
    <t xml:space="preserve">Equipo humano región </t>
  </si>
  <si>
    <t>Rueda de negocio  virtual</t>
  </si>
  <si>
    <t>Talleres y/o eventos de divulgación virtuales</t>
  </si>
  <si>
    <t>Incentivos valor agregado microempresas</t>
  </si>
  <si>
    <t>Incentivo valor agregado  pequeñas  empresas</t>
  </si>
  <si>
    <t>PROGRAMA - PROYECTO / AÑO 1 AL 20</t>
  </si>
  <si>
    <t>TOTAL</t>
  </si>
  <si>
    <t>Estimación de Costos  Plan de acción cadena maicera</t>
  </si>
  <si>
    <t>Apoyo UPA</t>
  </si>
  <si>
    <t>Incentivo Familias explotación integral</t>
  </si>
  <si>
    <t>Talleres y/o eventos de divulgación regionales</t>
  </si>
  <si>
    <t>Material de promoción</t>
  </si>
  <si>
    <t>Valor mensual</t>
  </si>
  <si>
    <t xml:space="preserve">Se consideran 7 departamentos (Chocó, Meta, Caquetá, Nariño, Cauca,  Boyacá y Córdoba) con áreas de producción de maíz ubicadas fuera de la frontera agrícola. Se estiman 28 mesas de trabajo presencial y virtual (4 por departamento), 7 talleres y/o eventos de divulgación regionales presenciales (1 por departamento), eventos de divulgación virtuales (3 por departamento). Se estima un equipo humano en región de 7 personas, con rodamiento (peajes y combustible) y apoyos tecnológicos (GPS y Tablet); y se considera "Por definir" otras formas de contribución. </t>
  </si>
  <si>
    <t>Talleres y/o eventos de divulgación nacionales</t>
  </si>
  <si>
    <t>Parcelas demostrativas o lotes modelo</t>
  </si>
  <si>
    <t>Escuelas, días de campo, giras técnicas,  y/o visitas</t>
  </si>
  <si>
    <t>Costo/30 personas</t>
  </si>
  <si>
    <t>Costo/persona</t>
  </si>
  <si>
    <t>Consultoría especializada para diseño de riego intrapredial</t>
  </si>
  <si>
    <t>Otros tipos de captación, almacenamiento y aprovechamiento de agua</t>
  </si>
  <si>
    <t>Talleres y/o eventos virtuales</t>
  </si>
  <si>
    <t>Escuelas, días de campo, giras técnicas,  y/ o visitas</t>
  </si>
  <si>
    <t>Costo/20 personas</t>
  </si>
  <si>
    <t>Parcelas demostrativas</t>
  </si>
  <si>
    <t>Diplomados</t>
  </si>
  <si>
    <t>Diplomados virtuales</t>
  </si>
  <si>
    <t>Personas</t>
  </si>
  <si>
    <t xml:space="preserve">Incentivo Inversiones en tecnologías y prácticas sostenibles microempresas </t>
  </si>
  <si>
    <t>Incentivo Inversiones en tecnologías y prácticas sostenibles pequeñas</t>
  </si>
  <si>
    <t>Incentivo Inversiones en tecnologías y prácticas sostenibles medianas</t>
  </si>
  <si>
    <t>Viaje internacional</t>
  </si>
  <si>
    <t>Viáticos</t>
  </si>
  <si>
    <t>Empresas</t>
  </si>
  <si>
    <t>Implementación del modelo de I+D+i</t>
  </si>
  <si>
    <t>Otras formas de fortalecimiento</t>
  </si>
  <si>
    <t>Formación tecnológica y/o universitaria</t>
  </si>
  <si>
    <t>Maestría</t>
  </si>
  <si>
    <t>Doctorado</t>
  </si>
  <si>
    <t>Viajes internacionales</t>
  </si>
  <si>
    <t>Otros mecanismos de fortalecimiento</t>
  </si>
  <si>
    <t xml:space="preserve">Incentivos para unidades productoras </t>
  </si>
  <si>
    <t>Valor anual años 2 al 20</t>
  </si>
  <si>
    <t xml:space="preserve">Valor persona asistencia técnica </t>
  </si>
  <si>
    <t>Subtotal sin asistencia técnica</t>
  </si>
  <si>
    <t>Incentivos a la formalización a la propiedad</t>
  </si>
  <si>
    <t>Valor indicativo en pesos constantes de 2022 por programa y proyecto.</t>
  </si>
  <si>
    <t>Total 
(Millones de Pesos)</t>
  </si>
  <si>
    <t>Mediano Plazo 
(5 al 12 año)</t>
  </si>
  <si>
    <t>Corto Plazo
 (1 al 4 año)</t>
  </si>
  <si>
    <t>Parcelas demostrativas/lotes modelos</t>
  </si>
  <si>
    <t xml:space="preserve">OE2. Incrementar la productividad del cultivo de maíz. </t>
  </si>
  <si>
    <t>EE1. Competitividad, productividad y especialización regional</t>
  </si>
  <si>
    <t xml:space="preserve">3.4. Fortalecimiento de la oferta de insumos y servicios asociados a la cadena. </t>
  </si>
  <si>
    <t>3.5. Mejora del entorno productivo para las grandes inversiones en las regiones maiceras.</t>
  </si>
  <si>
    <t>OE6. Contribuir al mejoramiento del entorno social asociado a la cadena</t>
  </si>
  <si>
    <t>6. Contribución al mejoramiento en las condiciones de vida de la población vinculada a la cadena de maíz.</t>
  </si>
  <si>
    <t>OE9. Fortalecer la organización, financiación, seguimiento y control de la cadena</t>
  </si>
  <si>
    <t>9.3. Fortalecimiento de mecanismos institucionales para el impulso a las inversiones en producción de maíz a mediana y gran escala.</t>
  </si>
  <si>
    <t>9.4. Diseño y operación del Sistema nacional de Información para la cadena de maíz.</t>
  </si>
  <si>
    <t>9.5. Constitución y fortalecimiento de la Organización de Cadena de maíz.</t>
  </si>
  <si>
    <t>9.6. Adopción, promoción y monitoreo de la política pública para la cadena de maíz.</t>
  </si>
  <si>
    <t>Desplazamiento Experto</t>
  </si>
  <si>
    <t>Tiquetes Viaje Internacional</t>
  </si>
  <si>
    <t xml:space="preserve">Plan de medios radial regional </t>
  </si>
  <si>
    <t xml:space="preserve">Equipamiento de laboratorios para el control de calidad de grano </t>
  </si>
  <si>
    <t>Desarrollo de la estrategia financiera</t>
  </si>
  <si>
    <t>Mesas de trabajo virtuales (nacionales, regionales e internacionales)</t>
  </si>
  <si>
    <t>Funcionamiento del sistema</t>
  </si>
  <si>
    <t>otras formas de fortalecimiento</t>
  </si>
  <si>
    <t xml:space="preserve">Se estima mesas de trabajo presenciales (7) y mesas  virtuales por subregión (19), un taller y evento de divulgación presencial por región.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Se deja por definir el acompañamiento y consolidación de las gestión de los comités regionales de la cadena de maíz. </t>
  </si>
  <si>
    <t>Desarrollador de plataforma</t>
  </si>
  <si>
    <t>Se estima mesas de trabajo presenciales por región y mesas de trabajo virtuales por subregión (19), talleres y eventos de divulgación nacional y regional.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(compartidos con el proyecto 9.4., se cuenta con un profesional desarrollador de la plataforma de seguimiento del POP. Por definir de dejan las actividades de empoderamiento gradual y seguimiento y evaluación POP</t>
  </si>
  <si>
    <t>Fortalecimiento</t>
  </si>
  <si>
    <t xml:space="preserve">Se estima realizar 1 taller nacional y dos talleres presenciales por región (14),  1 taller virtual por subregión (19) y una mesa de trabajo presencial por cada región (7) y una mesa de trabajo virtual por región (7).  Para el desarrollo de las actividades se proyectan  3 profesionales con un promedio salarial de $7.862.772 para el apoyo de las actividades del proyecto a nivel nacional y el fortalecimiento de un equipo regional con profesionales y técnicos a los cuales se les asigna dos subregiones, considerando el rodamientos, desplazamiento, viáticos y el apoyo técnico requerido.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t>
  </si>
  <si>
    <t>Valor indicativo en pesos constantes de 2022 corto, mediano y largo plazo</t>
  </si>
  <si>
    <t>Equipo gestor especializado</t>
  </si>
  <si>
    <t>Total  año 1 al 5</t>
  </si>
  <si>
    <t>Total 6 al año 20</t>
  </si>
  <si>
    <t>Funcionamiento red colaborativa</t>
  </si>
  <si>
    <t>Se estima realizar 1 taller nacional y los talleres por región (7) presenciales, 2 talleres virtual por subregión (10) con mayor potencial para la producción de maíz tecnificado de mediana y gran escala y una mesa de trabajo presencial por cada región (7) y dos mesas de trabajo virtuales por cada región (14).  Para el desarrollo de las actividades a nivel nacional se proyectan 5 profesionales con un promedio de ingresos de $8.953.563, con experiencia en el sector y en las diferentes líneas temáticas con un coordinador de equipo. Se contemplan viajes internacionales para consolidar la red de colaboradores, el fortalecimiento de un equipo regional con profesionales y técnicos de acuerdo a las regiones con mayor potencial para la producción de maíz tecnificado de mediana y gran escala, considerando rodamientos, desplazamientos y viáticos. Se fortalecen la estrategia de comunicación con 1 campaña publicitaria institucional y 1 plan de medios radial a nivel subregional (10).  El proyecto contempla promover la red colaborativa de manera permanente que se deja por definir, considerando el nivel de información con que se cuenta.</t>
  </si>
  <si>
    <t>Mes 12  del año 20</t>
  </si>
  <si>
    <t>Participación en ferias comerciales internacionales</t>
  </si>
  <si>
    <t>Visitas a zonas productivas potenciales priorizadas</t>
  </si>
  <si>
    <t>Equipo Humano Nacional</t>
  </si>
  <si>
    <t>Desplazamiento</t>
  </si>
  <si>
    <t>Valor 2 al 4</t>
  </si>
  <si>
    <t>Valor 2 al 6</t>
  </si>
  <si>
    <t>Valor año 7 al 20</t>
  </si>
  <si>
    <t>Incentivos, deducciones tributarias, entre otras</t>
  </si>
  <si>
    <t>Valor anual del 6 al 20</t>
  </si>
  <si>
    <t>Hectáreas por año</t>
  </si>
  <si>
    <t xml:space="preserve">Este proyecto se considera para las 19 subregiones maiceras y 7 regiones a lo largo del territorio nacional. Se estiman 12 mesas de trabajo presencial, 12 mesas de trabajo virtuales, talleres y/o eventos de divulgación nacionales presenciales y 19 virtuales por subregión, un monto de material de divulgación de $3.000.0000 por subregión, se estima pautas en redes sociales por región por un valor global de 5 millones,  2 desarrolladores de plataformas para divulgar información, cursos cortos presenciales y virtuales por subregión, 2 personas que apoyen la realización de actividades a nivel nacional, una persona por región, con rodamiento, apoyos tecnológicos, se estima un 50% de dedicación a este proyecto y el restante tiempo al proyecto 7.2 . </t>
  </si>
  <si>
    <t>Fecha de Finalización</t>
  </si>
  <si>
    <t>Mes 12 Año 12</t>
  </si>
  <si>
    <t xml:space="preserve">Se estiman 25 mesas de trabajo (4 presenciales y 19 virtuales), 4 talleres y/o eventos de divulgación nacionales, talleres y/o eventos de divulgación regionales (7 presenciales, 1 en cada región y 19 virtuales, 1 en cada subregión), Escuelas, días de campo, giras técnicas,  y/ o visitas y  parcelas demostrativas (1 en cada subregión). Se estiman diplomados presenciales (1 en cada una de las 7 regiones) y virtuales (1 en cada una de las 19 subregiones); un equipo humano nacional de 2 personas, con viáticos y desplazamientos, y un equipo en región de 19 personas, con rodamiento (peajes y combustible) y apoyos tecnológicos (GPS y Tablet). Se propone un incentivo para inversiones en tecnologías y prácticas sostenibles para microempresas (7 por año, 1 en cada región), pequeñas empresas (7 por año, 1 en cada región) y medianas empresas (4 por año, 1 en cada región priorizada, correspondiente a las regiones que agrupan 10 de las 19 subregiones porque contienen más del 30% del área en producción de maíz en sistema tecnificado). Se considera "Por definir" otras formas de mejora. </t>
  </si>
  <si>
    <t xml:space="preserve">Incentivo microempresas técnicas especializadas  </t>
  </si>
  <si>
    <t xml:space="preserve">Incentivo pequeñas empresas técnicas especializadas  </t>
  </si>
  <si>
    <t xml:space="preserve">Incentivo  medianas empresas técnicas especializadas  </t>
  </si>
  <si>
    <t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Se considera "Por definir" la implementación del modelo I+D+i y otras formas de fortalecimiento. </t>
  </si>
  <si>
    <t>Se estiman 25 mesas de trabajo (4 presenciales y 19 virtuales), 4 talleres y/o eventos de divulgación nacionales, talleres y/o eventos de divulgación regionales (7 presenciales y 19 virtuales - 1 en cada subregión), 19 parcelas demostrativas y 19 giras técnicas (1 en cada subregión). Se estiman, cursos cortos, cursos libres, y diplomados presenciales (1 en cada una de las subregiones) y virtuales (5 en cada una de las 19 subregiones). Se estima un apoyo del 30% para formación tecnológica y/o universitaria, maestría y doctorado. Se estima un equipo humano nacional de 2 personas, con viáticos y desplazamientos, y viajes y viáticos internacionales, y un equipo en región de 7 personas, con rodamiento (peajes y combustible) y apoyos tecnológicos (GPS y Tablet). Se considera "Por definir" Otros tipos de fortalecimiento.</t>
  </si>
  <si>
    <t>Mes 10 del año 1</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</si>
  <si>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</si>
  <si>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</si>
  <si>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</si>
  <si>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</si>
  <si>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</si>
  <si>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</si>
  <si>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</si>
  <si>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</si>
  <si>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</si>
  <si>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</si>
  <si>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</si>
  <si>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</si>
  <si>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</si>
  <si>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</si>
  <si>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Distribución Fuentes de Financiación estimativo de Costos Plan de acción cadena de maiz</t>
  </si>
  <si>
    <t>Porcentaje y Valor indicativo en pesos constantes  de 2022 corto, mediano y largo plazo</t>
  </si>
  <si>
    <t>Mes 10  Año 1</t>
  </si>
  <si>
    <t>Mes 4 Año 1</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</si>
  <si>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que ejecuten el proyecto 6.1 y 6.2 , de 2 personas con un valor promedio de $7.862.772 por diez meses, una persona por cada región con un valor promedio de $2.516.084 con su respectivo rodamiento por un período de 8 meses, que comparten actividades con el proyecto 6.2. Se considera por definir convenios y programas y otras formas de contribución.</t>
  </si>
  <si>
    <t>Valor 1 al 5 año</t>
  </si>
  <si>
    <t>Valor adicional para fortalecer el ISA ( Incentivo de seguros agropecuarios) para el sector maicero</t>
  </si>
  <si>
    <t>Valor año</t>
  </si>
  <si>
    <t>Se supone la intervención a 10 subregiones porque  tienen más del 30% en producción de maíz tecnificado, que se agrupan en 4 macro regiones (Costa, Valle, Tolima y Llanos). Se estiman actividades de gestión desde el año 1 al 11. Se proponen mesas de trabajo presenciales y virtuales, realizadas cada semestre a nivel subregional se identifican y convocan a los agentes  que participan de la cadena de suministro de insumos, bienes y servicios para los productores. Se proponen  2 talleres anuales y 2 cursos cortos (presenciales y virtuales  en cada subregión, se capacita a productores y agroindustriales en la planificación y gestión de su cadena de suministros, la logística y tecnología involucrada y se estima dar acompañamiento e información sobre los instrumentos que tienen disponibles para el emprendimiento y la creación de empresas comerciales y de suministros de bienes y servicios para la producción. Se sugiere complementar la capacitación con diplomados en gestión de las cadenas de suministro, presenciales y virtuales para dos personas/año por subregión. Se realiza una Feria - Rueda de negocios, anual por subregión, presencial y virtual, como espacio para que oferentes de semillas, fertilizantes, fitosanitarios, agro biológicos, servicios operativos, servicios técnicos y tecnológicos, maquinaria, servicios logísticos, de mecanización, etc., se encuentren con los productores y agroindustriales, para la proyección y realización de negocios. Se considera un equipo humano de acción nacional de 2 personas, con sus desplazamientos, para liderar y coordinar las actividades de capacitación, divulgación y comerciales. Se supone un equipo humano de acción subregional, con rodamientos y apoyos tecnológicos para las actividades de coordinación, operativas, logísticas, personal que compare actividades con el proyecto 3.4. Las actividades de capacitación, talleres y eventos de divulgación se estima  implementarse  durante 5 años y las ferias - ruedas de negocio durante 20 años.</t>
  </si>
  <si>
    <t>Se propone realizar 6 mesas de trabajo presenciales y 6 virtuales en al año,  6 talleres virtuales y 6 presenciales. Se propone apoyar el desarrollo de la industria de la cal con el desarrollo de un incentivo para el emprendimiento a 2 empresas medianas en el año durante 5 años, por un valor de $39.597.850, el cual se calculó teniendo clasificación de empresas de acuerdo con el nivel de ingresos, a lo cual se calcula un % 3  y luego un 2% para medianas empresas. Se propone la contratación de 2 personas para brindar acompañamiento técnico a los empresarios en las diferentes actividades que se desarrollan en el marco de este proyecto, con un promedio mensual de $9.907.096 y se calculan  desplazamientos a las regiones.</t>
  </si>
  <si>
    <t>LEC para créditos de capitalización empresas</t>
  </si>
  <si>
    <t>Se supone la intervención a 10 subregiones porque  tienen más del 30% en producción de maíz tecnificado. Las actividades de promoción y fortalecimiento se estiman durante los primeros 5 años. Se propone realizar 10 mesas de trabajo presenciales y 10 virtuales, una por subregión, para la selección de organizaciones priorizadas para el proyecto. Se propone realizar 2 talleres en cada subregión para capacitar y orientación a los productores en el desarrollo de empresas de economía solidaria. Se propone realizar una gira técnica desde cada subregión para conocer empresas cooperativas que operen exitosamente. Se sugiere complementar la capacitación con cursos cortos, presenciales y virtuales, a personas vinculadas con las organizaciones de economía solidaria en cada subregión. Se presupuesta  un equipo de dos personas y sus desplazamientos, con campo de operación nacional  especializados en las temáticas del desarrollo empresarial y alianzas estratégicas, para coordinar y realizar las actividades de capacitación y consultoría. Se estima un equipo humano de campo con  rodamientos y apoyos tecnológicos de operación subregional, para las actividades operativas, de coordinación y monitoreo del avance de los proyectos. A partir del año 6, para las empresas ya consolidades, se sugiere incentivos LEC  de 10%, para créditos de capitalización de $500.000.000 por empresa asociativa cada subregión.</t>
  </si>
  <si>
    <t>Valor adicional para fortalecer el programa de cobertura de precios y tasa de cambio para maíz</t>
  </si>
  <si>
    <t xml:space="preserve">Se supone la intervención a 10 subregiones porque  tienen más del 30% en producción de maíz tecnificado, que se agrupan en 4 macro regiones (Costa, Valle, Tolima y Llanos). Se proponen 10 mesas de trabajo presenciales, complementadas con 10 virtuales, una por subregión para promover las alianzas estratégicas entre los agentes de la cadena.  Cada semestre en la época de siembras y previo a cosecha se propone realizar talleres/eventos en las 4 regiones mayores,  para acompañar gestiones comerciales alrededor de las integraciones, alianzas y acuerdos entre productores comercializadores y procesadores. En las 4 macro regiones, se estiman cursos cortos, presenciales y virtuales de capacitación en gestión empresarial y planeación estratégica, uno por semestre en cada región mayor. Se estima patrocinar  la realización de diplomados presenciales y virtuales, en gerencia y administración de empresas a 5 lideres de esquemas empresariales en cada una de las 4 macro regiones. Una vez por semestre se realizan ruedas de negocio, presenciales y virtuales, para  la definición de contratos entre productores e industria y para evaluar el resultado de los contratos definidos el semestre anterior. Para promocionar estas actividades, se sugiere un plan de medios y  material promocional por subregión. Se considera un equipo de dos personas con un promedio de $8.963.563 con su desplazamiento con campo de operación nacional especializados en las temáticas del desarrollo empresarial y alianzas estratégicas, para coordinar y realizar las actividades de capacitación y consultoría en el desarrollo de las alianzas. Se estima un equipo humano de campo de operación subregional, una persona por subregión con rodamientos y apoyos tecnológicos, para las actividades operativas, de coordinación y monitoreo del avance de los proyectos, actividades compartidas con el proyecto 3.1. </t>
  </si>
  <si>
    <t>Asociaciones/empresa</t>
  </si>
  <si>
    <t>Análisis de calidad del grano</t>
  </si>
  <si>
    <t>Consultoría Especializada</t>
  </si>
  <si>
    <t>Tiquetes y desplazamiento 8 días</t>
  </si>
  <si>
    <t>Se propone realizar una mesa de trabajo mensuales, talleres de carácter nacional cada 3 meses, se sugiere participar en 2 ferias comerciales internacionales para promover inversión. Se propone realizar 2 visitas a conocer en el terreno, las regiones con potencial para recibir las inversiones. Se sugiere contratar un equipo de consultor de 4 personas para  gestión, estructuración de proyectos y para brindar orientación y acompañamiento  a los empresarios e inversionistas, se incluyen los cálculos de desplazamientos a las regiones.</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</si>
  <si>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estima un incentivo a la unidad productiva basados en proveer insumos para sembrar una hectárea de maíz tradicional de manera óptima, que es un valor de $1.610.000 por familia, se estima intervenir al 30% de las familias durante le desarrollo del plan. Se estima un equipo humano a nivel nacional y en región, de 4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</si>
  <si>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estima un incentivo a la formalización de $1.610.000 para pequeños  como apoyo en asesoría, documentación, para 10 empresas por cada región, que corresponde al valor de una ha de maíz tradicional,  se estima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</si>
  <si>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Consultoría especializada</t>
  </si>
  <si>
    <t>Se estima la realización de mesas de trabajo 12 virtuales y 12 presenciales,  se estima la realización de  talleres y/o eventos de divulgación nacional y/regional, dos por región.  Se estima 1 consultor especializado durante 5 meses, cada año para realizar asesoría en formulación de proyectos.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</si>
  <si>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18 años, también se estimó un incentivo a las Tics por un valor de $300.000 que corresponde a la donación de una Tablet que se costea en $300.00 para el 30% de las familias durante 18 años, cada año se estima apoyar a 590 familias. También se estima un incentivo a la conectividad para apoyar el 30% de las familias durante los 18 años del proyecto, es decir 590 familias año por un valor de $600.000 el cual se calculó para pagar el servicio de internet por un año.  Se estima un valor material promocional de $10 millones por región.  Se estima un equipo humano a nivel nacional de 2 personas para que ejecute los proyectos 6.1 y 6.2 , con un valor promedio de $7.862.772 por diez meses, una persona por cada región con un valor promedio de $2.516.084 con su respectivo rodamiento por un período de 8 meses. </t>
  </si>
  <si>
    <t>Otros mecanismos de seguridad jurídica</t>
  </si>
  <si>
    <t xml:space="preserve">Se estima realizar 1 taller nacional y los talleres presenciales por subregión (priorizando 10 zonas por su ubicación estratégica), 1 taller virtual por subregión (19), 1  mesa de trabajo por región (7) y una mesa de trabajo virtual por región (7) y se incluyen mesas internacionales y nacionales para conocer experiencias (3), para el desarrollo de las actividades se proyectan 3 profesionales con un promedio salarial de 7.862.772 para el apoyo de las actividades del proyecto a nivel nacional, considerando el desplazamiento y viáticos. El proyecto contempla acciones de contribuir en el recaudo de la cuota de fomento cerealista que se deja por definir, considerando el nivel de información con que se cuenta.  Se considera un monto global de 60 millones para consultorías especializadas que apoyen el diseño y/o mejora de las normas técnicas para comercialización de maíz, así como el diseño y/o mejora de otros instrumentos para comercialización, empresarización, gestión de riesgo. </t>
  </si>
  <si>
    <t>Total año y  2</t>
  </si>
  <si>
    <t>Consultorías especializadas</t>
  </si>
  <si>
    <r>
      <t>En este anexo se presentan los detalles de los cálculos realizados para estimar los costos de implementación del portafolio de programas y proyectos para el subsector maíz, en pesos constantes de 2022. Esta estimación de costos arroja un valor indicativo de la suma de recursos financieros, que al momento se pueden cuantificar, para lograr las metas propuestas en el plan,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</si>
  <si>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por el sector maíz, saber cuál es la demanda de recursos aproximada para desarrollar los proyectos señaladas en el Portafolio y con ello facilitar gestión de recursos para su implementación.
Esta Estimación de Costos presentado debe ser revisada y actualizada periódicamente.</t>
  </si>
  <si>
    <t>kits de maquinaria</t>
  </si>
  <si>
    <t>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t>
  </si>
  <si>
    <t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que se deja por definir. El proyecto contempla acciones para el diseño de la estrategia financiera y otras formas de fortalecimiento que se deja por definir, considerando el nivel de información con que se cuenta. </t>
  </si>
  <si>
    <t>SUPUESTOS ESTIMACION DE COSTOS</t>
  </si>
  <si>
    <t>Incentivo comisión FAG contratos   (Año 3 al 7 )</t>
  </si>
  <si>
    <t>RESULTADO ESPERADO A 20 AÑOS</t>
  </si>
  <si>
    <t>ACTORES ALIADOS</t>
  </si>
  <si>
    <t>PRODUCTOS</t>
  </si>
  <si>
    <t>ACTIVIDADES</t>
  </si>
  <si>
    <t xml:space="preserve">
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</si>
  <si>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</si>
  <si>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t>
  </si>
  <si>
    <t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t>
  </si>
  <si>
    <t>1.1.3. Realizar acompañamiento comercial y financiero a productores, asociaciones y empresas que redunden en el cumplimiento de los requerimientos del mercado, enfocándose en estrategias de negociación y cumplimiento de las normas de calidad, en concordancia con la actividad 9.2.4.</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</si>
  <si>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</si>
  <si>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</si>
  <si>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</si>
  <si>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</si>
  <si>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</si>
  <si>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</si>
  <si>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</si>
  <si>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</si>
  <si>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</si>
  <si>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t>
  </si>
  <si>
    <t xml:space="preserve">1.2.5. Mejorar el nivel de información del consumidor y de las empresas compradoras de maíz, subproductos, derivados y demás usos, respecto a las calidades, usos, origen, valor agregado, elementos diferenciadores, entre otros. </t>
  </si>
  <si>
    <t>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</si>
  <si>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</si>
  <si>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</si>
  <si>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</si>
  <si>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r>
      <t xml:space="preserve">Además de los incrementos en productividad, el área cultivada de maíz también ha crecido logrando triplicar, desde el 2020, la superficie de maíz en el país; </t>
    </r>
    <r>
      <rPr>
        <strike/>
        <sz val="12"/>
        <color theme="1"/>
        <rFont val="Arial"/>
        <family val="2"/>
      </rPr>
      <t>e</t>
    </r>
    <r>
      <rPr>
        <sz val="12"/>
        <color theme="1"/>
        <rFont val="Arial"/>
        <family val="2"/>
      </rPr>
      <t>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Se destaca el impacto positivo que, sobre los indicadores de desempeño del cultivo de maíz, ha tenido la consolidación de la inversión privada, nacional y extranjera, en proyectos productivos de agricultura empresarial de gran escala y alto nivel tecnológico, los cuales simultáneamente han decantado hacia los productores tecnificados de menor escala, las tecnologías aplicadas, logrando el aumento generalizado de la productividad de los cultivos.</t>
    </r>
  </si>
  <si>
    <t>Mincomercio, Minagricultura, Minciencias, ART, ICA, y ProColombia (Entidades líderes); Minhacienda, DIAN, DNP, ADR, Agrosavia, Innpulsa, Entidades Territoriales, Cámaras de comercio, Agencias de promoción de inversión, Gremios de la cadena de maíz, Comités Regionales de la cadena de maíz, Inversionistas y empresarios.</t>
  </si>
  <si>
    <t xml:space="preserve">Documento técnico de priorización de áreas para la inversión en producción de maíz a gran escala y de identificación de inversionistas y empresarios.
Servicio de apoyo a proyectos de inversión en producción de maíz a mediana y gran escala con enfoque de mercado.
Servicio de acompañamiento técnico para el ingreso de material genético al país y para procesos de validación tecnológica.
Servicio de acompañamiento a los inversionistas para el acceso a beneficios tributarios.
Servicio de fomento para inversiones extranjeras en la producción nacional de maíz. </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</si>
  <si>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</si>
  <si>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</si>
  <si>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</si>
  <si>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t>
  </si>
  <si>
    <t>EE1. Especialización regional, productividad y competitividad</t>
  </si>
  <si>
    <t>3.1.2. Capacitar y orientar a los productores, comercializadores y procesadores de maíz, seleccionados, en desarrollo empresarial agroindustrial, dentro del marco de los principios de la economía solidaria, con enfoque al mercado, la competitividad y el suministro de bienes y servicios.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</si>
  <si>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</si>
  <si>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3.1.4. Monitorear los avances de las organizaciones de economía solidaria asistidas y seleccionar casos exitosos para realizar transferencias bajo métodos de evaluación comparativa (benchmarking) de los temas priorizados.</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</si>
  <si>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</si>
  <si>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</si>
  <si>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</si>
  <si>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</si>
  <si>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t>
  </si>
  <si>
    <t>3.2.3.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</si>
  <si>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</si>
  <si>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</si>
  <si>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</si>
  <si>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t>
  </si>
  <si>
    <t>3.3.2. Capacitar, orientar y acompañar técnicamente a los productores, sus empresas y/o a los agroindustriales, sobre construcción, mejora y adecuación de los diferentes tipos de infraestructura de secamiento y almacenamiento de maíz, acorde con las subregiones maiceras priorizadas.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</si>
  <si>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</si>
  <si>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t>
  </si>
  <si>
    <t xml:space="preserve">3.3.5. Promover la creación de empresas agroindustriales regionales para el procesamiento de maíz y fabricación de derivados, brindando acompañamiento técnico y cofinanciación para la formulación y ejecución de planes de negocio. </t>
  </si>
  <si>
    <t>La producción de maíz de las regiones maiceras priorizadas para clústeres responde a las exigencias de una producción tecnificada a gran escala que emplea maquinarias y equipos de alta tecnología para desarrollar la agricultura de precisión en el cultivo; a tal punto que el 30 % de las Unidad Productora Agrícola – UPA, cuentan con tractores y sembradoras propias y el 20 % con cosechadores combinadas propias, en cuanto  a la obsolescencia de los equipos menores (más de cinco años de uso) estos no superan el 20 %; las demás UPA acceden a los bancos de maquinaria de las empresas especializadas que se han establecido en las regiones maiceras. El fortalecimiento de líneas de inversión y de crédito han sido claves para la adquisición de maquinaria y la creación de empresas especializadas de mecanización agrícola.</t>
  </si>
  <si>
    <t>Minagricultura y ADR (Entidades líderes); Finagro, Fenalce - FFC, Distribuidores de maquinaria agrícola, Distribuidores de Insumos Agrícolas, Mincomercio, Mintransporte, MinTIC, Bancóldex, Innpulsa, Cámaras de Comercio, Empresas de Semillas, Acosemillas, Proveedores de bienes y servicios para la producción, comercialización y procesamiento de maíz, Productores, comercializadores y procesadores de maíz.</t>
  </si>
  <si>
    <t>Servicio de acompañamiento para fortalecer la oferta de insumos y servicios comerciales, técnicos y logísticos, para la cadena de maíz. 
Servicio de producción, comercialización y uso seguro de semillas híbridas.
Servicio de apoyo financiero para empresas y emprendimientos productivos.</t>
  </si>
  <si>
    <t>3.4.1. Identificar y convocar a los proveedores de insumos y servicios comerciales, técnicos y logísticos, de las subregiones maiceras priorizadas, para fortalecer su oferta, acorde con las necesidades de la cadena, y a partir de la caracterización subregional de la actividad 9.4.3.</t>
  </si>
  <si>
    <t xml:space="preserve">3.4.2. Promover en Colombia, la multiplicación y comercialización de semillas hibridas de alta tecnología a precios competitivos, a través de acompañamiento para crear empresas que se dediquen a esta actividad y de orientación a las ya existentes.  </t>
  </si>
  <si>
    <t>3.4.4. Capacitar a los productores y/o agroindustriales, en la gestión de sus cadenas de suministro de insumos y servicios, la logística de sus operaciones y la tecnología aplicable en estas.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</si>
  <si>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</si>
  <si>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3.4.6. Promover la capacitación de operadores de maquinaria agrícola y equipos tecnológicos para la agricultura, y la capacitación de personas para su mantenimiento y reparación.</t>
  </si>
  <si>
    <t xml:space="preserve">Mincomercio y Minagricultura (Entidades líderes); ADR, Minenergia, Finagro, Entidades financieras, Bancóldex, Innpulsa, BMC, Gremios de la cadena de maíz, Industria alimenticia y otras industrias, Distribuidores de maquinaria agrícola, Distribuidores de Insumos Agrícolas, Empresarios e inversionistas. </t>
  </si>
  <si>
    <t>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t>
  </si>
  <si>
    <t>3.5.2. Promover la financiación, cofinanciación, incentivos, alianzas público - privadas, inversión directa, estructuración de proyectos, entre otras, que impulsen iniciativas de almacenamiento de granos a escala (elevadores en puertos secos).</t>
  </si>
  <si>
    <t>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t>
  </si>
  <si>
    <t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</si>
  <si>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</si>
  <si>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</si>
  <si>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</si>
  <si>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4.1.1. Realizar campañas de sensibilización y divulgación de la normatividad relacionada con las áreas protegidas y de exclusión, a los productores de maíz con cultivos ubicados en estas áreas de importancia ambiental, fuera de la frontera agrícola.</t>
  </si>
  <si>
    <t>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</si>
  <si>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</si>
  <si>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</si>
  <si>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</si>
  <si>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</si>
  <si>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</si>
  <si>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</si>
  <si>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4.2.3. Promover mecanismos financieros y no financieros dirigidos a la incorporación de buenas prácticas para la regeneración, uso y manejo sostenible, así como para el aumento de la fertilidad del suelo, en la producción de maíz.</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</si>
  <si>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</si>
  <si>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</si>
  <si>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 xml:space="preserve">4.2.6. Promover la implementación del instrumento de Pago por Servicios Ambientales - PSA, en el marco de alianzas o acuerdos público - privados o entre privados, a través de procesos de divulgación y capacitación. </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</si>
  <si>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</si>
  <si>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</si>
  <si>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</si>
  <si>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5.1.1. Promover la incorporación de los escenarios de variabilidad y cambio climático, en el desarrollo especializado de las regiones maiceras, a través de los instrumentos de política nacional y regional.</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</si>
  <si>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</si>
  <si>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 xml:space="preserve">5.1.3. Promover el desarrollo y la adopción de semillas mejoradas en su tolerancia a las variaciones climáticas, de forma articulada con instrumentos financieros e incentivos. </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</si>
  <si>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</si>
  <si>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5.1.5. Identificar y divulgar los desarrollos en tecnologías de producción bajas en carbono, modelos de economía circular y energías alternativas, aplicables a la cadena de maíz.</t>
  </si>
  <si>
    <t>5.1.6. Realizar el acompañamiento técnico y financiero para mejorar la infraestructura y equipamiento requeridos en la incorporación de tecnologías de producción bajas en carbono, modelos de economía circular, y energías alternativas, a lo largo de la cadena de maíz.</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</si>
  <si>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</si>
  <si>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</si>
  <si>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</si>
  <si>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</si>
  <si>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6.1.2. Realizar acompañamiento a los pequeños productores de maíz tradicional y sus familias, con el fin de mejorar la seguridad alimentaria, enfatizando en el uso y aprovechamiento de los recursos de su unidad productiva.   </t>
  </si>
  <si>
    <t>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</si>
  <si>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</si>
  <si>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</si>
  <si>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</si>
  <si>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</si>
  <si>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de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</si>
  <si>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</si>
  <si>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6.2.2. Promover convenios con las entidades competentes y establecer una red colaborativa, para fomentar el acceso a programas de educación básica primaria, secundaria y superior de los actores ocupados en la cadena de maíz.</t>
  </si>
  <si>
    <t>6.2.3. Articular programas y gestionar incentivos y mecanismos de financiación, dirigidos a contribuir con la mejora al acceso, cobertura y calidad de la educación de los actores vinculados a la cadena de maíz.</t>
  </si>
  <si>
    <t>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</si>
  <si>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</si>
  <si>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Innpulsa, Bancóldex, SIC, Confecámaras, Gremios de la Cadena de maíz,  Procesadores y Comercializadores de maíz, subproductos y derivados.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</si>
  <si>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</si>
  <si>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</si>
  <si>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El ordenamiento productivo y social de la propiedad rural – OSP, ha sido fundamental para el desarrollo competitivo y sustentable de la cadena de maíz, en especial para la consolidación de las regiones maiceras, al contribuir en la formalización de los predios rurales que conforman estas regiones favoreciendo la regularización y acceso de la propiedad rural de los cultivadores de maíz, así como mejores condiciones para la inversión de gran escala y a largo plazo en el cultivo de maíz. 
En la actualidad la producción de maíz en el país se lleva a cabo en su totalidad al interior de la frontera agrícola , debido a que se logró revertir la situación que se presentaba hace 20 años,  donde el 28 % de la producción nacional se desarrollaba por fuera de esta ;  para lo cual fue fundamental la implementación de los planes maestros de reconversión productiva. De igual manera, se consiguió durante este periodo de tiempo, que el 100 % de la producción maicera bajo sistemas tecnificados de clima cálido se desarrollara en las zonas aptas, cuyas condiciones biofísicas, socioecosistémicas y socioeconómicas son más favorables.
Actualmente la cadena cuenta con un mercado de tierras rurales en las regiones maiceras más transparente, operante y formal.</t>
  </si>
  <si>
    <t>Minagricultura (Entidad líder); Entidades Territoriales, ANT, UPRA, Gremios de la cadena de maíz, Productores y empresarios de la cadena de maíz.</t>
  </si>
  <si>
    <t>7.1.1. Socializar y divulgar la normatividad relacionada con la frontera agrícola, a los productores y demás actores de la cadena de maíz.</t>
  </si>
  <si>
    <t>7.1.2. Promover mecanismos para que los actores de la cadena de maíz participen en las instancias que definen las políticas de ordenamiento y planificación municipal y departamental.</t>
  </si>
  <si>
    <t>7.1.4. Replicar experiencias en región, relacionadas con la planificación y ordenamiento en la siembra y producción de maíz, teniendo en cuenta la especialización regional y los requerimientos de mercado, y la caracterización y priorización regional.</t>
  </si>
  <si>
    <t>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t>
  </si>
  <si>
    <t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</si>
  <si>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</si>
  <si>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</si>
  <si>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 xml:space="preserve">7.2.1. Realizar acompañamiento a los productores de maíz en los procesos de regularización de la propiedad, para favorecer su acceso a los programas y beneficios que contribuyan a mejorar el desarrollo de la actividad productiva.  </t>
  </si>
  <si>
    <t xml:space="preserve">7.2.4. Promover la implementación de normatividad que brinde las garantías para la consolidación de inversiones privadas en el cultivo de maíz, en las regiones maiceras priorizadas. </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</si>
  <si>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</si>
  <si>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</si>
  <si>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</si>
  <si>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</si>
  <si>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</si>
  <si>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t>
  </si>
  <si>
    <t xml:space="preserve">OE4. Mejorar el uso del agua y el suelo asociado al cultivo de maíz </t>
  </si>
  <si>
    <t xml:space="preserve">8.1.5. Implementar el modelo de I+D+i, con enfoque regional y con la participación articulada de instituciones y actores públicos y privados, del ámbito nacional e internacional, en las líneas de investigación estratégicas concertadas por la cadena maicera. </t>
  </si>
  <si>
    <t>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t>
  </si>
  <si>
    <t>8.1.7. Impulsar la creación, desarrollo y/o fortalecimiento de modelos y/o empresas especializadas en la prestación de servicios de asistencia técnica y extensión agrícola e industrial, a través de instrumentos financieros y no financieros.</t>
  </si>
  <si>
    <t>8.1.8. Realizar el seguimiento y monitoreo de los avances en I+D+i de la cadena de maíz, considerando aspectos como vigilancia tecnológica e inteligencia competitiva y diseñar un mecanismo de monitoreo del nivel de adopción e impacto de las tecnologías generadas para esta cadena.</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</si>
  <si>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</si>
  <si>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</si>
  <si>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</si>
  <si>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8.2.1. Identificar y evaluar la oferta de formación, capacitación y cobertura de investigadores, profesionales, técnicos y tecnólogos, realizando un análisis de brechas de formación, en temas específicos requeridos por la cadena de maíz.</t>
  </si>
  <si>
    <t>8.2.2. Promover acuerdos con instituciones educativas para fortalecer la formación en las áreas básicas del conocimiento y en las áreas temáticas, acordes con las necesidades de I+D+i y transferencia de tecnologías, de la cadena de maíz.</t>
  </si>
  <si>
    <t>8.2.3. Promover el diseño, mejora y/o actualización de los programas de formación integral y capacitación por competencias, y desarrollo de habilidades prácticas, a los extensionistas y asistentes técnicos agrícolas e industriales, para la cadena de maíz.</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</si>
  <si>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</si>
  <si>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8.2.5. Formar capital humano en competencias, habilidades y destrezas para estructuración y gestión de proyectos de I+D+i para la cadena.</t>
  </si>
  <si>
    <t>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t>
  </si>
  <si>
    <t>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</si>
  <si>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</si>
  <si>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</si>
  <si>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9.1.1. Identificar las necesidades en aspectos técnicos, humanos, físicos y presupuestales, para el fortalecimiento de las autoridades sanitarias, en concordancia con los resultados esperados en materia de sanidad e inocuidad, del POP para la cadena de maíz.</t>
  </si>
  <si>
    <t>9.1.2. Actualizar el plan estratégico de las autoridades sanitarias y de inocuidad, considerando las necesidades y particularidades regionales de la cadena de maíz y en concordancia con la normatividad vigente.</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</si>
  <si>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</si>
  <si>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</si>
  <si>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</si>
  <si>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</si>
  <si>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9.2.3. Diseñar y/o mejorar programas que permitan la inclusión financiera de pequeños y medianos productores de maíz y MiPymes relacionadas con la cadena, que redunden en la mejora en el acceso y cobertura tanto al crédito de fomento como al formal.</t>
  </si>
  <si>
    <t>9.2.5. Diseñar y/o mejorar instrumentos de comercialización y financiación no bancaria a lo largo de la cadena maicera, tales como contratos con entrega a término, con anticipo financiero y garantía FAG, repos, valoración de activos biológicos, entre otros.</t>
  </si>
  <si>
    <t xml:space="preserve">9.2.7. Diseñar y/o mejorar instrumentos de política, para promover la asociatividad, la integración, y el emprendimiento, a lo largo de la cadena maicera.  </t>
  </si>
  <si>
    <t xml:space="preserve">9.2.8. Contribuir en el desarrollo de acciones que mejoren la gestión y el recaudo de la cuota de fomento cerealista. </t>
  </si>
  <si>
    <t>La institucionalidad nacional, a través de entidades del orden regulatorio agropecuario y ambiental, del orden catastral, del orden industrial, comercial y laboral y del orden tributario nacional, están comprometidas con modelar instrumentos adecuados para apoyar la consolidación del interés privado nacional e internacional, por invertir en proyectos de mediana y gran escala que, buscan aumentar la producción de maíz en el país.
Los procedimientos para el cumplimiento de los requisitos ambientales, de los proyectos de agricultura empresarial, en especial los de mayor escala y sus integraciones con procesos agroindustriales y pecuarios, se hicieron más expeditos, gracias a la articulación efectiva entre las entidades del orden territorial como las corporaciones autónomas regionales y las del orden nacional como la Autoridad Nacional de Licencias Ambientales ANLA, lo cual fue determinante para dar fluidez y estabilidad a la inversión privada a lo largo de la cadena.</t>
  </si>
  <si>
    <t>Minagricultura (Entidad líder); ICA, Agrosavia, Minciencias, Minambiente, Autoridades ambientales, Mincomercio, DNP, Minhacienda, BMC, ANT, UPRA, DIAN.</t>
  </si>
  <si>
    <t>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t>
  </si>
  <si>
    <t xml:space="preserve">9.3.2. Analizar el procedimiento de importación de material genético de maíz, identificando oportunidades de mejora para agilizar los trámites de ingreso al país y gestionando los respectivos cambios. </t>
  </si>
  <si>
    <t>9.3.3. Analizar los trámites asociados al cumplimiento de los requisitos ambientales para el desarrollo de modelos agroempresariales de la cadena de maíz, y gestionar su simplificación, automatización y estandarización.</t>
  </si>
  <si>
    <t>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</si>
  <si>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</si>
  <si>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</si>
  <si>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</si>
  <si>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t>
  </si>
  <si>
    <t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</si>
  <si>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</si>
  <si>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</si>
  <si>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Los agentes de la cadena públicos y privados de todos los eslabones, han logrado hablar un solo lenguaje de colaboración y emprendimiento uniendo sus esfuerzos para apoyar la consolidación de la organización de la cadena maicera a nivel nacional y regional, entendiendo que estas, han sido el soporte y las encargadas de jalonar el  mejoramiento de los indicadores de desempeño de la cadena, alcanzando la visión plasmada hace 20 años en el POP Maíz.</t>
  </si>
  <si>
    <t xml:space="preserve">Minagricultura y Gremios de la cadena de maíz (Entidades líderes); DNP, Entidades Territoriales -Secretarias de Agricultura y Desarrollo Rural. </t>
  </si>
  <si>
    <t>Servicio de fortalecimiento de los comités regionales de la cadena de maíz y la organización de cadena a nivel nacional. 
Servicio de articulación institucional para el fortalecimiento de la cadena de maíz.</t>
  </si>
  <si>
    <t>9.5.1. Priorizar las subregiones maiceras de acuerdo con criterios de aptitud, productividad, infraestructura, bienes y servicios, mercado actual y potencial, interés y participación de los actores, entre otros factores.</t>
  </si>
  <si>
    <t>9.5.2. Crear, fortalecer y gestionar los recursos para el funcionamiento de los comités regionales de la cadena de maíz, en el marco de la Ley 811 de 2003.</t>
  </si>
  <si>
    <t>9.5.3. Propiciar la creación de la Organización de Cadena a nivel nacional, a partir de los avances en la dinámica y fortalecimiento de los comités regionales de la cadena de maíz.</t>
  </si>
  <si>
    <t xml:space="preserve">9.5.4. Acompañar el desarrollo y progreso de los comités regionales de la cadena de maíz y la Organización de Cadena a nivel nacional para lograr su sostenibilidad y capacidad ejecutiva. </t>
  </si>
  <si>
    <t>La voluntad de concertación y el diálogo, han estado presentes durante estos 20 años, desde que fue aprobado e implementado el Plan de Ordenamiento Productivo de la cadena maicera -POP maíz; y hoy se visualizan en el reconocimiento de la importancia que para todos los colombianos tiene la cadena productiva, no solo en lo económico, sino en lo cultural y en el gran aporte al bienestar social y a la seguridad alimentaria; son por estas razones entre otras, que el país, representado en sus entidades y los agentes de la cadena, han logrado el fortalecimiento de la institucionalidad que soporta una cadena desarrollada, que sigue creciendo, y que abastece las necesidades de su población.</t>
  </si>
  <si>
    <t>Minagricultura (Entidad líder); DNP, Minhacienda, y UPRA.</t>
  </si>
  <si>
    <t>Documento normativo para la adopción del Plan de Ordenamiento Productivo para la cadena de maíz
Servicio de socialización y divulgación del Plan de Ordenamiento Productivo para la cadena de maíz
Documento de planeación presupuestal para la implementación del Plan de Ordenamiento Productivo de la cadena de maíz
Servicio de seguimiento y evaluación para el Plan de Ordenamiento Productivo de la cadena de maíz.</t>
  </si>
  <si>
    <t xml:space="preserve">9.6.1. Adoptar como política pública el Plan de Ordenamiento Productivo para la cadena de maíz, mediante resolución expedida por el Minagricultura. </t>
  </si>
  <si>
    <t>9.6.2. Establecer el cronograma anual para la implementación del Plan de Ordenamiento Productivo de la cadena de maíz.</t>
  </si>
  <si>
    <t>9.6.3. Socializar y divulgar el Plan de Ordenamiento Productivo para la cadena de maíz, a nivel nacional y territorial.</t>
  </si>
  <si>
    <t>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t>
  </si>
  <si>
    <t>9.6.5. Empoderar gradualmente los diferentes comités regionales que se constituyan, para que tomen el liderazgo en la implementación del POP de la cadena de maíz.</t>
  </si>
  <si>
    <t>9.6.6. Diseñar e implementar el sistema de seguimiento y evaluación del Plan de Ordenamiento Productivo para la cadena de maíz.</t>
  </si>
  <si>
    <t xml:space="preserve">Se estiman 6 mesas de trabajo presencial y 6 virtuales, pago anual a plataformas de información y base de datos,  se estima 2 visitas de consultores internacionales con tiquetes y viáticos para profundizar sobre temas de mercado en otros países de referencia, se estima la creación de un incentivo al valor agregado para pequeñas y medianas empresas, el cual se calculó teniendo en cuenta el valor de los ingresos de micro y pequeñas empresas, de acuerdo a la clasificación de la Dian, a la cual se le estimó un porcentaje del 10% y 5% del valor anual de los ingresos estimados y a este resultado se le calculó el 10% y el 5%  para hallar un valor de apoyo para la generación de valor agregado para micro y pequeñas empresas de $8.954.883 y $19,476.575 respectivamente, para 8  microempresas  y 4 pequeñas empresas en las regiones a intervenir, cada región. Se estimaron 5 talleres y/o eventos de divulgación nacionales y regionales por región a intervenir, tanto presencial como virtual, se estimó la realización de 2 ferias comerciales por región a intervenir, ruedas de negocios presenciales y virtuales por región, se estiman certificaciones diferenciadoras por región a intervenir, campaña publicitaria nacional, campañas publicitarias por región a intervenir, 2 stand de promoción y divulgación por zonas a intervenir, pautas en redes sociales por región, plan de medios radiales a nivel regional, cursos cortos presenciales y virtuales a nivel regional (2 por región a intervenir),  se calcula un equipo humano para los proyectos 1.1 y 1.2  a nivel nacional con un salario promedio de $7.862.772 y su desplazamiento a región, se estima también un personal en región con un sueldo promedio de $3.931.384 y rodamiento de $1.300.000 para el desplazamiento en región y apoyos tecnológicos.  Se deja por definir  otros mecanismos de posicionamiento. </t>
  </si>
  <si>
    <t>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t>
  </si>
  <si>
    <t>Valor ICR kit por año asociaciones de productores en las siembras de maiz</t>
  </si>
  <si>
    <t>Valor ICR resto productores</t>
  </si>
  <si>
    <t>Valor LEC Kit de maquinaria por año asociaciones de productores en las siembras de maiz</t>
  </si>
  <si>
    <t>Valor LEC Kit de maquinaria por año resto de productores</t>
  </si>
  <si>
    <t>Valor Mensual</t>
  </si>
  <si>
    <t>Ton de cal por año</t>
  </si>
  <si>
    <t>Tabla de Estimación de costos</t>
  </si>
  <si>
    <t>Tabla de Estimación de Costos</t>
  </si>
  <si>
    <t>Año 2 al 20</t>
  </si>
  <si>
    <t>LEC Adecuación de tierras</t>
  </si>
  <si>
    <t>Años</t>
  </si>
  <si>
    <t>ICR Pequeños y asociativos/ soluciones individuales de riego</t>
  </si>
  <si>
    <t>ICR demás tipos de productores soluciones individuales de riego</t>
  </si>
  <si>
    <t>ICR Capacidad instalada requerida por año pequeños</t>
  </si>
  <si>
    <t>ICR Capacidad instalada requerida por año pequeños asociaciones</t>
  </si>
  <si>
    <t>ICR Capacidad instalada requerida por año medianos</t>
  </si>
  <si>
    <t xml:space="preserve">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proponen incentivos para la aplicación de cal por has sembrada y para adquirir maquinaria, los cuales se calculan de acuerdo al supuesto de gradualidad en el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propone crear un incentivo a la adecuación química de suelos, a través de  la aplicación de 5 t/h de Cal dolomita, con un costo de $150.000 por tonelada; se sugiere la asignación de un ICR del 20% durante los 10 primeros años,  ya que es una inversión de lento retorno, a partir del año 12 y hasta el 20 se propone una línea especial de crédito, que subsidie el 7.5% del interés del valor del crédito.  Para modernizar la maquinaria, se tienen en cuenta kits maquinaria para atender 400 has de capacidad, cuyo costo por kit es de $2.570.750 según estudio realizado en la iniciativa soya maíz  proyecto maíz del 2021, se propone asignar recursos de  de ICR de un 40% para asociaciones de productores y un ICR de 20% a otros productores, durante los años 2 a 11. Se estima que las hectáreas de las sociaciones de productores corresponden al 10% del área, del año 2 al 6, de 20% del área del año 7 al 11, del 30% del área del 12 al 17 y del 40% del área del año 18 al 20. Para los años 12 al 20, se sugiere asignar recursos de LEC para continuar apoyando la modernización de la maquinaria a asociaciones y a otros productores, la cual subsidia 7.5% puntos de la tasa de interés del costo de la maquinaria.
</t>
  </si>
  <si>
    <t>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parte de la meta de prospectiva de contar con 3.000.000 de toneladas de capacidad de secamiento y almacenamiento, que se va incrementando con  la misma tendencia que lo hace el área con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Por tano  entre el año 2 al 6 se estima haber llegado al 22% de la capacidad requerida, del año 7 al 12  alcanzar un 53% adicional, y del año 13 al 20 alcanzar el 26% restante,  para alcanzar el 100% durante el transcurso del plan. De esta cantidad se estima que el  10% sea para pequeños productores y el 40% para asociaciones de pequeños productores, a los  primero se les otroga un ICR del 30% y a los segundo se les otorgaría un ICR del 40% y para medianos productores un ICR del 20%;  la cantidad de capacidad instalada para medianos productores, se estimó en un 30%,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t>
  </si>
  <si>
    <t>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anual del valor del crédito como subsisido a tasa de interés (LEC) por adecuación de tierras para uso agropecuario. Las hectáreas a apoyar corresponden a un  30% de las áreas estimadas a incrementar durante la ejecución del plan (950.000), es decir 285.000 , la gradualidad en las hectáreas se estimó asi: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estima un valor por hectárea de $1.500.000 que es un supeusto técnico para la inversión en labores mecanización y encalamiento para adecuar tierras para el cultivo.  Por su parte para las soluciones individuales de riego, se estimó hectáreas a apoyar corresponden a un  5% de las áreas estimadas a incrementar durante la ejecución del plan (950.000), es decir 47.500  de los cuales se estimpo un 50% para pequeños y asociativos y un 30% para medianos, se considero un 20% para grandes; se sugiere un ICR de 40% para pequeños y pequelos asociativos y del 20% para medianos y a los grandes no les asigna incentivos. La gradualidad en las hectáreas se estimó asi: entre el año 2 al 6 se estima haber llegado al 15% del área proyectada (es decir cada año se alcanza un 3% de la meta), al año 16 haber alcanzado el 80% (cada año se alcanza un 6.5% de la meta)  y al año 20  (cada año se alcanza un 5%) para lograr el 100% . El  supuesto técnico estimado para el valor de las soluciones individuales de riego es de $7.994.184/ha (USD 2.150 a una tasa de cambio de $3.718); que corresponde a un sistema de riego por pivote que incluye equipos, y no incluye mano de obra, ni infraestructura para captación de aguas. Se considera "Por definir" Otros tipos de captación, almacenamiento y aprovechamiento de agua, y otras formas de promoción.</t>
  </si>
  <si>
    <t>COSTOS ESTIMADO</t>
  </si>
  <si>
    <t>TOTAL ESTIMACION DE COSTOS</t>
  </si>
  <si>
    <t>Valor ICR Cal dolomita</t>
  </si>
  <si>
    <t>Valor LEC Cal dolomita</t>
  </si>
  <si>
    <t>1. Costos de personal</t>
  </si>
  <si>
    <t>a. Honorarios</t>
  </si>
  <si>
    <t>Tabla de Honorarios Contratos de Prestación de Servicios</t>
  </si>
  <si>
    <t>Categorías</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</si>
  <si>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</si>
  <si>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</si>
  <si>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</si>
  <si>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</si>
  <si>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</si>
  <si>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</si>
  <si>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</si>
  <si>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</si>
  <si>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</si>
  <si>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</si>
  <si>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</si>
  <si>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</si>
  <si>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</si>
  <si>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</si>
  <si>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</si>
  <si>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</si>
  <si>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</si>
  <si>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</si>
  <si>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</si>
  <si>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</si>
  <si>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</si>
  <si>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</si>
  <si>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</si>
  <si>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</si>
  <si>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</si>
  <si>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</si>
  <si>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</si>
  <si>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</si>
  <si>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</si>
  <si>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</si>
  <si>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</si>
  <si>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</si>
  <si>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</si>
  <si>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</si>
  <si>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</si>
  <si>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</si>
  <si>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</si>
  <si>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</si>
  <si>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</si>
  <si>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</si>
  <si>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</si>
  <si>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</si>
  <si>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</si>
  <si>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</si>
  <si>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</si>
  <si>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</si>
  <si>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</si>
  <si>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TFT + 7 - 15 ME, ó TP + 3 - 9 ME</t>
  </si>
  <si>
    <t>Consultor Categoría I Nivel 8</t>
  </si>
  <si>
    <t>TFT + 4-6 ME, ó TP +0 - 1 ME</t>
  </si>
  <si>
    <t>Consultor Categoría I Nivel 7</t>
  </si>
  <si>
    <t>TFT+1-3 ME</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</si>
  <si>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</si>
  <si>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</si>
  <si>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</si>
  <si>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</si>
  <si>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</si>
  <si>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</si>
  <si>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</si>
  <si>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</si>
  <si>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</si>
  <si>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</si>
  <si>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</si>
  <si>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</si>
  <si>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2022</t>
  </si>
  <si>
    <t>https://www.dnp.gov.co/DNP/contratacion</t>
  </si>
  <si>
    <t>Nota: Se supone para elaboración de estudios, conformación de grupos de trabajo de 5 personas, 1 líder y 4 profesionales de apoyo.</t>
  </si>
  <si>
    <t>2. Costos de desplazamiento a región</t>
  </si>
  <si>
    <t>a. Viáticos</t>
  </si>
  <si>
    <t>2. Tabla de viáticos  Contratos de Prestación de Servicios</t>
  </si>
  <si>
    <t>Honorarios</t>
  </si>
  <si>
    <t>TP+MA+70-79ME</t>
  </si>
  <si>
    <t>TP+MA+60-69 ME</t>
  </si>
  <si>
    <t>TP + MA +50-59 ME</t>
  </si>
  <si>
    <t>TP+MA+40-49ME</t>
  </si>
  <si>
    <t>TP+E+46-51ME</t>
  </si>
  <si>
    <t>TP+E+41-45ME</t>
  </si>
  <si>
    <t>TP+E+35-40ME</t>
  </si>
  <si>
    <t>TP+E+29-34ME</t>
  </si>
  <si>
    <t>TP+E+23-28ME</t>
  </si>
  <si>
    <t>TP+E+17-22ME</t>
  </si>
  <si>
    <t>TP+E+11-16ME</t>
  </si>
  <si>
    <t>TP+E+5-10ME</t>
  </si>
  <si>
    <t>TP+E+25-33ME</t>
  </si>
  <si>
    <t>TP+18-24 ME</t>
  </si>
  <si>
    <t>TP+10- 17 ME</t>
  </si>
  <si>
    <t>TFT+7-15 ME, o TP+3-9 ME</t>
  </si>
  <si>
    <t>TFT+ 4-6 ME, o TP+ 1 ME</t>
  </si>
  <si>
    <t>Nota: Cubre Alojamiento y Alimentación</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</si>
  <si>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</si>
  <si>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</si>
  <si>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</si>
  <si>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</si>
  <si>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</si>
  <si>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</si>
  <si>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</si>
  <si>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</si>
  <si>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</si>
  <si>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</si>
  <si>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</si>
  <si>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</si>
  <si>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</si>
  <si>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</si>
  <si>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</si>
  <si>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</si>
  <si>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</si>
  <si>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Fuente: Valores referencia obtenidos del Decreto No.979 DE 2021 "Por el cual se fijan las escalas de viáticos</t>
  </si>
  <si>
    <t>"https://www.funcionpublica.gov.co/eva/gestornormativo/norma.php?i=169099</t>
  </si>
  <si>
    <t>Bogota- Monteria</t>
  </si>
  <si>
    <t>Bogota_ Ibague</t>
  </si>
  <si>
    <t>Bogotá- Valledupar</t>
  </si>
  <si>
    <t>Bogotá- Villavicencio</t>
  </si>
  <si>
    <t>Valor promedio ida y regreso</t>
  </si>
  <si>
    <t>Valor promedio ida y regreso. Despegar 3 de maroz 2022</t>
  </si>
  <si>
    <t xml:space="preserve">Nota: Corresponde a un valor promedio simple  del costo de vuelos de rutas nacionales. </t>
  </si>
  <si>
    <t>Combustible</t>
  </si>
  <si>
    <t>Criterio de Cálculo</t>
  </si>
  <si>
    <t>Galón de gasolina</t>
  </si>
  <si>
    <t>Km por Galón</t>
  </si>
  <si>
    <t>35 km por galón</t>
  </si>
  <si>
    <t>Combustible Región 2. Intermedia /Recorre 100 km diario por 20 dias)</t>
  </si>
  <si>
    <t>2000 km mensuales</t>
  </si>
  <si>
    <t>Combustible Región 3. Lejana/ Recorre 200 km diarios por 20 dias.</t>
  </si>
  <si>
    <t>4000 km mensuales</t>
  </si>
  <si>
    <t>Valor aprox Combustible</t>
  </si>
  <si>
    <t>Aproximación a número mayor</t>
  </si>
  <si>
    <t>El rubro de combustible se utiliza el valor promedio hallado, es decir $800.000</t>
  </si>
  <si>
    <t>Aprox mayor valor</t>
  </si>
  <si>
    <t>Valor peaje promedio 12.000 y se estima dos peajes diarios</t>
  </si>
  <si>
    <t xml:space="preserve">Nota: Corresponde a un valor global simple  del costo promedio de peajes entre las subregiones. </t>
  </si>
  <si>
    <t>e. Rodamiento</t>
  </si>
  <si>
    <t>Peajes</t>
  </si>
  <si>
    <t>Alquiler GPS</t>
  </si>
  <si>
    <t>Alquiler Tablet</t>
  </si>
  <si>
    <t>Barreno</t>
  </si>
  <si>
    <t>Medidor de pH</t>
  </si>
  <si>
    <t>Otros</t>
  </si>
  <si>
    <t>Nota: Valor promedio precio alquiler marzo 2022</t>
  </si>
  <si>
    <t>g. Tiquetes internacionales</t>
  </si>
  <si>
    <t>Países De referencia</t>
  </si>
  <si>
    <t>Valor tiquetes</t>
  </si>
  <si>
    <t>Brasil- Sao Paulo-</t>
  </si>
  <si>
    <t>Mexico</t>
  </si>
  <si>
    <t>Argentina</t>
  </si>
  <si>
    <t>Estados Unidos- Chicago</t>
  </si>
  <si>
    <t>3/03/2022, fuente Despegar.</t>
  </si>
  <si>
    <t xml:space="preserve">Nota: Corresponde a un valor promedio simple del costo de vuelos  directos a dichos destinos. </t>
  </si>
  <si>
    <t>Nota. En concordancia  la regionalización de maiz.</t>
  </si>
  <si>
    <t>Regiones Maiceras</t>
  </si>
  <si>
    <t>Amazonia - AZ</t>
  </si>
  <si>
    <t>Caribe Húmedo - CH</t>
  </si>
  <si>
    <t>Caribe Seco - CS</t>
  </si>
  <si>
    <t>Costa Pacifica - CP</t>
  </si>
  <si>
    <t>Ladera - LA</t>
  </si>
  <si>
    <t>Orinoquia - OR</t>
  </si>
  <si>
    <t>Valles Interandinos - VI</t>
  </si>
  <si>
    <t>% Participación del Sistema Técnificado por subregión</t>
  </si>
  <si>
    <t>Participación sistema tecnificado</t>
  </si>
  <si>
    <t>VI - Valle del Cauca</t>
  </si>
  <si>
    <t>LA - Valle Occidente</t>
  </si>
  <si>
    <t>LA - Tolima Huila</t>
  </si>
  <si>
    <t>VI - Alto Magdalena</t>
  </si>
  <si>
    <t>OR - Sabánas (Altillanura)</t>
  </si>
  <si>
    <t>OR - Piedemonte</t>
  </si>
  <si>
    <t>CH - Sinú</t>
  </si>
  <si>
    <t>LA - Eje Cafetero</t>
  </si>
  <si>
    <t>AZ - Piedemonte amazonico</t>
  </si>
  <si>
    <t>CS - Interior</t>
  </si>
  <si>
    <t>VI - Magdalena Medio</t>
  </si>
  <si>
    <t>LA - Macizo Colombiano</t>
  </si>
  <si>
    <t>CH - Sabánas</t>
  </si>
  <si>
    <t>CH - Bajo cauca</t>
  </si>
  <si>
    <t>CS - Litoral</t>
  </si>
  <si>
    <t>LA - Cundinamarca, Boyacá, Santanderes</t>
  </si>
  <si>
    <t>AZ - Amazonía Guaviare</t>
  </si>
  <si>
    <t>AZ - Llanura Amazonica</t>
  </si>
  <si>
    <t>Costo Pacifica</t>
  </si>
  <si>
    <t>No se cuentan con datos coherentes</t>
  </si>
  <si>
    <t>Sub Regiones Maiceras Tecnificadas (&gt; 30% de producción tenificada)</t>
  </si>
  <si>
    <t>Tomado del documento de Regionalización. UPRA 2021</t>
  </si>
  <si>
    <t xml:space="preserve">Macro regiones tecnificadas </t>
  </si>
  <si>
    <t>Subregiones Maiceras</t>
  </si>
  <si>
    <t>Produccion toneladas</t>
  </si>
  <si>
    <t xml:space="preserve">Macro regiones técnificadas </t>
  </si>
  <si>
    <t>4 - VALLE</t>
  </si>
  <si>
    <t>2 - TOLIMA</t>
  </si>
  <si>
    <t>1 - COSTA</t>
  </si>
  <si>
    <t>3 - LLANOS</t>
  </si>
  <si>
    <t>Regiones Maiceras Mayores Agregadas Tecnificadas</t>
  </si>
  <si>
    <t>Cálculos Propios Experto</t>
  </si>
  <si>
    <t>% Producción Tradicional según región maicera</t>
  </si>
  <si>
    <t>Costa Pacifica</t>
  </si>
  <si>
    <t>Sub Regiones Maiceras Tradicionales (&gt; 5% de producción tradicional)</t>
  </si>
  <si>
    <t>3. Actividades Grupales</t>
  </si>
  <si>
    <t>a. Mesas de trabajo</t>
  </si>
  <si>
    <t>e. Mesas de trabajo virtual</t>
  </si>
  <si>
    <t>f. Talleres y/o eventos de divulgación nacional y/o regional virtuales</t>
  </si>
  <si>
    <t>i. Eventos Gestión y divulgación Nacional y/o Regional virtuales</t>
  </si>
  <si>
    <t>Nota: Las mesas ,eventos y talleres virtuales corresponden al 20% del valor estimado de forma presencial</t>
  </si>
  <si>
    <t>(Se calculan mesas de trabajo de 20 personas)</t>
  </si>
  <si>
    <t>Refrigerio</t>
  </si>
  <si>
    <t>Café y otros</t>
  </si>
  <si>
    <t>Costo estimado</t>
  </si>
  <si>
    <t>b. Talleres y/ o eventos de divulgación nacionales y/o regionales (Productor, transformador, comercialización)</t>
  </si>
  <si>
    <t>Se calcula asistencia 40 personas</t>
  </si>
  <si>
    <t>Auditorio</t>
  </si>
  <si>
    <t>Estación de café y otros</t>
  </si>
  <si>
    <t>Material de divulgación y promocional</t>
  </si>
  <si>
    <t>Protocolos de bioseguridad</t>
  </si>
  <si>
    <t>Talleres Nacionales</t>
  </si>
  <si>
    <t>Nota: Auditorio incluye video beam. 40 personas</t>
  </si>
  <si>
    <t>c. Mesas de trabajo</t>
  </si>
  <si>
    <t>Nota: Auditorio incluye video beam</t>
  </si>
  <si>
    <t>c. Escuelas, dias de campo, giras técnicas,  y/ o visitas,  (Productor, transformador, comercialización)</t>
  </si>
  <si>
    <t>Se calcula asistencia 20 personas</t>
  </si>
  <si>
    <t>Refrigerio e hidratación</t>
  </si>
  <si>
    <t>Almuerzo</t>
  </si>
  <si>
    <t>Apoyos tecnológicos y herramientas de diagnóstico</t>
  </si>
  <si>
    <t>Protocolo de bioseguridad</t>
  </si>
  <si>
    <t>Desplazamiento personas/transporte</t>
  </si>
  <si>
    <t>Se estima que las personas provean sus propios medios para llegar a los puntos de encuentro</t>
  </si>
  <si>
    <t xml:space="preserve"> Protocolo bioseguridad :Insumos/ lavado de botas/manos, tapabocas.</t>
  </si>
  <si>
    <t xml:space="preserve">d. Parcelas demostrativas o lotes modelos </t>
  </si>
  <si>
    <t xml:space="preserve"> (1ha por semestre)</t>
  </si>
  <si>
    <t>Semillas</t>
  </si>
  <si>
    <t>Abonos</t>
  </si>
  <si>
    <t>Fitosanitarios</t>
  </si>
  <si>
    <t>Labores</t>
  </si>
  <si>
    <t>Análisis de laboratorios</t>
  </si>
  <si>
    <t xml:space="preserve">h. Taller Práctico </t>
  </si>
  <si>
    <t>Salones para prácticas</t>
  </si>
  <si>
    <t>Capacitador (Viáticos y/o honorarios jornada)</t>
  </si>
  <si>
    <t>Insumos/materia prima y consumibles</t>
  </si>
  <si>
    <t>imprevistos</t>
  </si>
  <si>
    <t>Medidas de bioseguridad</t>
  </si>
  <si>
    <t xml:space="preserve">4. Tasa de cambio </t>
  </si>
  <si>
    <t>a. Tasa de cambio</t>
  </si>
  <si>
    <t>Pesos por Dólar</t>
  </si>
  <si>
    <t>Pesos Por Euro</t>
  </si>
  <si>
    <t xml:space="preserve">Promedio simple del período contemplado </t>
  </si>
  <si>
    <t>5. Promoción y Comunicación</t>
  </si>
  <si>
    <t>Ítem</t>
  </si>
  <si>
    <t>a. Sección radial nacionales</t>
  </si>
  <si>
    <t>b. Sección Radial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</si>
  <si>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</si>
  <si>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</si>
  <si>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</si>
  <si>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</si>
  <si>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</si>
  <si>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</si>
  <si>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</si>
  <si>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</si>
  <si>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</si>
  <si>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</si>
  <si>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a. Sección radiales nacionales</t>
  </si>
  <si>
    <t>Noticiero mediodía</t>
  </si>
  <si>
    <t>Noticiero 10 am</t>
  </si>
  <si>
    <t>Noticiero 6 am</t>
  </si>
  <si>
    <t>Fuente: Basada en cotizaciones de ventas@caracol.com.co, 3 de marzo 2022, https://mediakit.caracol.com.co/buscar.aspx?q=caracol</t>
  </si>
  <si>
    <t>b. Cuña Radiales Regionales (Promedio aprox)</t>
  </si>
  <si>
    <t>Rubro</t>
  </si>
  <si>
    <t>Cuña radial regional  Monteria, Sincelejo</t>
  </si>
  <si>
    <t>Cuña radial regional región 2 (Ibagué)</t>
  </si>
  <si>
    <t>Cuñas radiales regionales (Promedio aprox)</t>
  </si>
  <si>
    <t>Vallas Publicitarias</t>
  </si>
  <si>
    <t>c. Vallas Publicitarias Nacional</t>
  </si>
  <si>
    <t>d. Vallas Publicitarias Regionales</t>
  </si>
  <si>
    <t>Incluye el costo de diseño, elaboración y alquiler del sitio de publicación de la valla. Fuente. Dato experto</t>
  </si>
  <si>
    <t>Comerciales tv</t>
  </si>
  <si>
    <t>Nota. Fuente comerciales tv nacional y regional, experto.</t>
  </si>
  <si>
    <t>Pendones</t>
  </si>
  <si>
    <t>Corresponde a un conjunto de pendones</t>
  </si>
  <si>
    <t>h. Campaña Publicitaria Nacional</t>
  </si>
  <si>
    <t>Equipo organizador</t>
  </si>
  <si>
    <t>Impresos</t>
  </si>
  <si>
    <t>Secciones  radiales nacionales</t>
  </si>
  <si>
    <t>Comerciales tv nivel nacional</t>
  </si>
  <si>
    <t>Total campaña publicitaria Nacional</t>
  </si>
  <si>
    <t>Nota: Se estima 1 meses de duración</t>
  </si>
  <si>
    <t>redondeo</t>
  </si>
  <si>
    <t xml:space="preserve">i. Campañas Publicitarias Regionales </t>
  </si>
  <si>
    <t>Cuñas radiales regionales</t>
  </si>
  <si>
    <t>Comerciales tv a nivel regional</t>
  </si>
  <si>
    <t>Vallas publicitarias</t>
  </si>
  <si>
    <t>Total Campaña publicitaria Regional</t>
  </si>
  <si>
    <t>Se estima 1 mes de duración</t>
  </si>
  <si>
    <t>j. Campaña publicitaria institucional ( Nacional)</t>
  </si>
  <si>
    <t>Sección radiales nacionales</t>
  </si>
  <si>
    <t>Comerciales tv nacional</t>
  </si>
  <si>
    <t>Vallas nacionales</t>
  </si>
  <si>
    <t>Elementos de promoción y divulgación</t>
  </si>
  <si>
    <t>Total campaña publicitaria institucional</t>
  </si>
  <si>
    <t xml:space="preserve">Se estima 1 mes de duración </t>
  </si>
  <si>
    <t>k. Campaña publicitaria institucional (Regional)</t>
  </si>
  <si>
    <t>Paquete Cuñas radiales regionales</t>
  </si>
  <si>
    <t>Vallas regionales</t>
  </si>
  <si>
    <t>k. Stand promoción Nacional</t>
  </si>
  <si>
    <t>l. Stand promoción regional</t>
  </si>
  <si>
    <t>Incluye diseño, mobiliario y  alquiler del espacio. Fuente Experto.</t>
  </si>
  <si>
    <t>m. Plan de Medios radial Nacional</t>
  </si>
  <si>
    <t>Ítems</t>
  </si>
  <si>
    <t>Paquete cuñas radiales nacionales</t>
  </si>
  <si>
    <t>Plan de medios Nacional</t>
  </si>
  <si>
    <t>n. Plan de Medios radial regional</t>
  </si>
  <si>
    <t>ñ. Plan de Medios radial Institucional</t>
  </si>
  <si>
    <t>6. Comercialización</t>
  </si>
  <si>
    <t>e. Mercados campesinos/circuitos cortos comercialización</t>
  </si>
  <si>
    <t>a. Rueda de negocio nacional y regional presencial</t>
  </si>
  <si>
    <t>Persona locales ( tiquete, hospedaje)</t>
  </si>
  <si>
    <t>Montaje</t>
  </si>
  <si>
    <t>Almuerzos</t>
  </si>
  <si>
    <t>Inscripciones</t>
  </si>
  <si>
    <t>Estación de café y agua</t>
  </si>
  <si>
    <t>Promoción y divulgación</t>
  </si>
  <si>
    <t xml:space="preserve">Rueda de negocio </t>
  </si>
  <si>
    <t>Se supone que la duración de la rueda son dos días, una noche. (30 asistentes)</t>
  </si>
  <si>
    <t>b Rueda de negocio  virtual</t>
  </si>
  <si>
    <t>Promoción y comunicación</t>
  </si>
  <si>
    <t xml:space="preserve">c. Participación en ferias comerciales </t>
  </si>
  <si>
    <t>Persona locales ( tiquete, hospedaje, viáticos)</t>
  </si>
  <si>
    <t>Stand  (5)</t>
  </si>
  <si>
    <t xml:space="preserve">Participación en ferias comerciales </t>
  </si>
  <si>
    <t>se estima la participación de 5 empresas o personas a la feria</t>
  </si>
  <si>
    <t>d. Participación en ferias comerciales internacionales</t>
  </si>
  <si>
    <t>Persona  ( tiquete)</t>
  </si>
  <si>
    <t xml:space="preserve">Stand </t>
  </si>
  <si>
    <t>Aprox</t>
  </si>
  <si>
    <t>se estima la participación de 5 empresas a la feria internacional, no incluye el hospedaje</t>
  </si>
  <si>
    <t>7. Capacitación, Formación y educación</t>
  </si>
  <si>
    <t xml:space="preserve"> a. Cursos cortos</t>
  </si>
  <si>
    <t>Se estima que un capacitador cobre 300.000 por cada persona capacitada, se estima un promedio de 30 personas por curso corto. Incluye refrigerio, material de divulgación, auditorio.</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</si>
  <si>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</si>
  <si>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</si>
  <si>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</si>
  <si>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</si>
  <si>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</si>
  <si>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</si>
  <si>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</si>
  <si>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</si>
  <si>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</si>
  <si>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</si>
  <si>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 Maestría</t>
  </si>
  <si>
    <t>Valor persona capacitada/ semestre</t>
  </si>
  <si>
    <t>i. Doctorado</t>
  </si>
  <si>
    <t>Fuente: Experto
Nota: El valor estimado corresponde al apoyo asignado para educación, ítems d, e f.</t>
  </si>
  <si>
    <t xml:space="preserve">8. Certificaciones </t>
  </si>
  <si>
    <t>a. Certificaciones diferenciadoras</t>
  </si>
  <si>
    <t>Consultoría</t>
  </si>
  <si>
    <t>Costo Certificaciones diferenciadores</t>
  </si>
  <si>
    <t>Total costo certificaciones</t>
  </si>
  <si>
    <t>Fuente. Bureau Veritas</t>
  </si>
  <si>
    <t>9. Laboratorios de control de calidad</t>
  </si>
  <si>
    <t>Observaciones</t>
  </si>
  <si>
    <t>Fuente</t>
  </si>
  <si>
    <t>a. Análisis de suelo y elementos disponibles en la solución del suelo</t>
  </si>
  <si>
    <t>Agrilab</t>
  </si>
  <si>
    <t xml:space="preserve">b.  Análisis de calidad del grano -  Grado </t>
  </si>
  <si>
    <t>Clasificacion grano maiz consumo NTC 366</t>
  </si>
  <si>
    <t>Enzipan</t>
  </si>
  <si>
    <t xml:space="preserve">c. Analisis de Inocuidad del grano - Aflatoxinas Totales semicuantitativo </t>
  </si>
  <si>
    <t>KIT</t>
  </si>
  <si>
    <t>10 . Infraestructura</t>
  </si>
  <si>
    <t>Solución para esquemas asociativos</t>
  </si>
  <si>
    <t>Proyecto Fincas -  1000 TM - Atiende a 450 Has ( para 4 a 8 agricultores de 50 a 100 Has)</t>
  </si>
  <si>
    <t>Proyecto Asociativo Pequeños - 3000 TM - Atiende a 1300 Has(10 a 20 agricultores de 60 a 130 Has)</t>
  </si>
  <si>
    <t>Proyecto Asociativo Medianos - 9000 TM - Atiende a 4000 Has (20 a 30 Agricultores de 130 a 200 Has)</t>
  </si>
  <si>
    <t>Proyecto Asociativo Grandes - 27000 TM - Atiende a 12000 Has(20 a 30 agricultores de 400 a 600 has)</t>
  </si>
  <si>
    <t>US$ 300 / tonelada de capacidad instalada. Concepto de expertos INVEIN - Keppler Weber</t>
  </si>
  <si>
    <t>Infraestructura en procesamiento de maiz</t>
  </si>
  <si>
    <t>Trilladora Pequeña 50 k</t>
  </si>
  <si>
    <t>Trilladora Mediana 100 kilos</t>
  </si>
  <si>
    <t>Trilladora Grande 200 kilos</t>
  </si>
  <si>
    <t>Cotizacion Fabricantes Bucaramanga</t>
  </si>
  <si>
    <t>Planta para secamiento, almacenamiento y producción de harinas precocidas</t>
  </si>
  <si>
    <t>Planta de transformación con capacidad instalada para la producción de 12.000 toneladas al año. Infraestructura de Recibo, secado y almacenado (capacidad de secamiento de 45 ton/h y capacidad de almacenamiento de 4 silos de 3000 m3 y 6 silos de 1500 m3). Subestación eléctrica 400 kva</t>
  </si>
  <si>
    <t>Terreno (5 hectáreas) Obras Civiles Adecuación oficina</t>
  </si>
  <si>
    <t xml:space="preserve">Tomado del documento PLA DE NEGOCIOS - PRODUCCIÓN DE HARINAS PRECOCIDAS DE MAÍZ - FENALCE - STARCO - 2007. Incrementados en 70%
</t>
  </si>
  <si>
    <t xml:space="preserve">10 . Incentivos </t>
  </si>
  <si>
    <t>Año 2020/ Prospectiva</t>
  </si>
  <si>
    <t xml:space="preserve">Incentivo comisión FAG contratos 1.1 </t>
  </si>
  <si>
    <t>Has promedio de maiz  tecnificado año</t>
  </si>
  <si>
    <t>Productividad ( ton por ha)</t>
  </si>
  <si>
    <t>Toneladas de maiz</t>
  </si>
  <si>
    <t>Valor comercial de una tonelada de maíz</t>
  </si>
  <si>
    <t>Valor contratos</t>
  </si>
  <si>
    <t>comisión FAG</t>
  </si>
  <si>
    <t>Registro BMC vendedor</t>
  </si>
  <si>
    <t>Costos garantia  FAG  y registro BMC de contratos forward sin administración de garantías</t>
  </si>
  <si>
    <t>Incentivo Valor Agregado  1.2</t>
  </si>
  <si>
    <t xml:space="preserve">UVT (Unidad de Valor Tributario- DIAN 2022) </t>
  </si>
  <si>
    <t>Empresas Manufactureras</t>
  </si>
  <si>
    <t>Clasificación DIAN</t>
  </si>
  <si>
    <t>Valor de los ingresos</t>
  </si>
  <si>
    <t>%  estimado para valor agregado</t>
  </si>
  <si>
    <t>Valor estimado</t>
  </si>
  <si>
    <t xml:space="preserve">% Estimado para apoyo valor agregado </t>
  </si>
  <si>
    <t>Incentivo</t>
  </si>
  <si>
    <t xml:space="preserve">Microempresas </t>
  </si>
  <si>
    <t>Pequeñas Empresas</t>
  </si>
  <si>
    <t>Medianas Empresas</t>
  </si>
  <si>
    <t>Inv Privada</t>
  </si>
  <si>
    <t>% Distribución has año maiz</t>
  </si>
  <si>
    <t xml:space="preserve">% Distribución  Has de maiz aprox </t>
  </si>
  <si>
    <t>% Gradualidad en has</t>
  </si>
  <si>
    <t>Cantidad de cal por ha</t>
  </si>
  <si>
    <t>Cantidad de car requerida año</t>
  </si>
  <si>
    <t>Valor Cal $ / ton</t>
  </si>
  <si>
    <t>Valor total Estimado Cal</t>
  </si>
  <si>
    <t>ICR</t>
  </si>
  <si>
    <t>LEC</t>
  </si>
  <si>
    <t>Has año maiz</t>
  </si>
  <si>
    <t>Participación de asociaciones de productores en las siembras de maiz</t>
  </si>
  <si>
    <t>Has año maiz asociaciones de productores</t>
  </si>
  <si>
    <t>Has año maiz resto de productores</t>
  </si>
  <si>
    <t>Capacidad de Operación de Kit de maquinaria por ha</t>
  </si>
  <si>
    <t>Requerimiento de kit por año asociaciones de productores en las siembras de maiz</t>
  </si>
  <si>
    <t>Requerimiento de kit para productores</t>
  </si>
  <si>
    <t>Valor kit de maquinaria</t>
  </si>
  <si>
    <t>ICR de asociaciones de productores en las siembras de maiz</t>
  </si>
  <si>
    <t>ICR demás prodcutores</t>
  </si>
  <si>
    <t>Valor kit por año asociaciones de productores en las siembras de maiz</t>
  </si>
  <si>
    <t>Tractores siembra 190  hp</t>
  </si>
  <si>
    <t>Sembradora- abonadora 12 lineas ( 50 cmts) Neumática, con tasa variable</t>
  </si>
  <si>
    <t>Implementos  de labranza (desborsadoras, arados de cincel, escarificadores)</t>
  </si>
  <si>
    <t>Abonadora  autopropulzada</t>
  </si>
  <si>
    <t>Pulverizadoras autopropulzada</t>
  </si>
  <si>
    <t>Cosechadoras /(230.240hp). Con monitor de rendimiento</t>
  </si>
  <si>
    <t>Cabezal maicero</t>
  </si>
  <si>
    <t xml:space="preserve">Tolvas Graneleras </t>
  </si>
  <si>
    <t>Total Kit</t>
  </si>
  <si>
    <t>Fuente: Soya Maiz- Proyecto pais. 2021</t>
  </si>
  <si>
    <t>Proyecto 3.1 Capital de trabajo para comercialización  o procesamiento</t>
  </si>
  <si>
    <t>Valor promedio tonelada de maiz en el mercado</t>
  </si>
  <si>
    <t xml:space="preserve">Cantidad  a comercializar por una asociación </t>
  </si>
  <si>
    <t>Valor 500 toneladas de maíz</t>
  </si>
  <si>
    <t>Cantidad de creditos</t>
  </si>
  <si>
    <t>Plantas de secamiento y almacenamiento 3.3</t>
  </si>
  <si>
    <t>Pequeños</t>
  </si>
  <si>
    <t>Pequeños asociados</t>
  </si>
  <si>
    <t>Medianos</t>
  </si>
  <si>
    <t>Grandes</t>
  </si>
  <si>
    <t>Meta Prospectiva de capacidad instalada de secamiento y almacenamiento ton</t>
  </si>
  <si>
    <t>Período ( 19 años)</t>
  </si>
  <si>
    <t xml:space="preserve">Fuente. Dato experto </t>
  </si>
  <si>
    <t>Capaciadad instalada requerida por año</t>
  </si>
  <si>
    <t>% de Requerimiento de capacidad instalada año</t>
  </si>
  <si>
    <t>Capacidad instalada requerida por año pequeños</t>
  </si>
  <si>
    <t>Capacidad instalada requerida por año pequeños asociaciones</t>
  </si>
  <si>
    <t>Capadcidad instalada requerida por año asociativo medianos</t>
  </si>
  <si>
    <t>Capacidadad instalada requerido por año grandes</t>
  </si>
  <si>
    <t>Descrpcion</t>
  </si>
  <si>
    <t>Capacidad total de almacenamiento
TM</t>
  </si>
  <si>
    <t># de silos</t>
  </si>
  <si>
    <t>Capacidad por silo
TM</t>
  </si>
  <si>
    <t>Capacidad Torre de Secamiento
TM / Dia</t>
  </si>
  <si>
    <t>Cantidad almacenada / Cosechada</t>
  </si>
  <si>
    <t>Rendimiento regional 
Ton / Ha</t>
  </si>
  <si>
    <t>Hectareas atendidas</t>
  </si>
  <si>
    <r>
      <t xml:space="preserve">Producto </t>
    </r>
    <r>
      <rPr>
        <b/>
        <sz val="11"/>
        <color rgb="FF0070C0"/>
        <rFont val="Arial"/>
        <family val="2"/>
      </rPr>
      <t xml:space="preserve">Procesado </t>
    </r>
    <r>
      <rPr>
        <sz val="11"/>
        <color theme="1"/>
        <rFont val="Arial"/>
        <family val="2"/>
      </rPr>
      <t>Ton</t>
    </r>
  </si>
  <si>
    <t>Valor total de la planta UUSD)</t>
  </si>
  <si>
    <t>Valor unitario USD/ton</t>
  </si>
  <si>
    <t>Valor unitario en pesos por tonelada</t>
  </si>
  <si>
    <t>% ICR</t>
  </si>
  <si>
    <t xml:space="preserve">Proyecto pequeño individual  </t>
  </si>
  <si>
    <t>Proyecto Asociativo Pequeños 
(10 a 20 agricultores de 60 a 130 Has)</t>
  </si>
  <si>
    <t>Proyecto Asociativo Medianos
(20 a 30 Agricultores de 130 a 200 Has)</t>
  </si>
  <si>
    <t>Proyecto Asociativo Grandes 
(20 a 30 agricultores de 400 a 600 has)</t>
  </si>
  <si>
    <t>ICR  Capacidad instalada requerida por año medianos</t>
  </si>
  <si>
    <t xml:space="preserve"> Capacidadad instalada requerido por año grandes</t>
  </si>
  <si>
    <t>Equipos e infraestructura requerida para el montaje de una planta de Poscosecha de acuerdo a su capacidad</t>
  </si>
  <si>
    <t>35 Ton/dia</t>
  </si>
  <si>
    <t>100 Ton/dia</t>
  </si>
  <si>
    <t>300 Ton/dia</t>
  </si>
  <si>
    <t>600 Ton/dia</t>
  </si>
  <si>
    <t>Equipos de Importacion</t>
  </si>
  <si>
    <t>Equipos Nacionales</t>
  </si>
  <si>
    <t xml:space="preserve">Importacion </t>
  </si>
  <si>
    <t>Obra Civil</t>
  </si>
  <si>
    <t>Electrico</t>
  </si>
  <si>
    <t>Vr. TOTAL</t>
  </si>
  <si>
    <t>Promoción  al emprendimiento P. 3.3 , 3.4, 3.5, 8.1</t>
  </si>
  <si>
    <t xml:space="preserve">%  estimado para formalización </t>
  </si>
  <si>
    <t xml:space="preserve">Valor estimado para formalización </t>
  </si>
  <si>
    <t xml:space="preserve">% Estimado para formalización </t>
  </si>
  <si>
    <t xml:space="preserve">4.2. LEC adecuación de tierras para uso agropecuario </t>
  </si>
  <si>
    <t>Has de maiz</t>
  </si>
  <si>
    <t>Con crédito para adecuación de tierras</t>
  </si>
  <si>
    <t>has sujeto de credito</t>
  </si>
  <si>
    <t>$ / Ha</t>
  </si>
  <si>
    <t>Lec promedio</t>
  </si>
  <si>
    <t>Has de maiz con crédito para adecuación de tierras</t>
  </si>
  <si>
    <t xml:space="preserve">% estimado para gradualidad en las has de maiz. </t>
  </si>
  <si>
    <t>Valor del crédito</t>
  </si>
  <si>
    <t>Valor incentivo LEC Adecuación de tierras</t>
  </si>
  <si>
    <t>4.2. ICR  Soluciones individuales en riego</t>
  </si>
  <si>
    <t>% estimado soluciones individuales en riego</t>
  </si>
  <si>
    <t>Valor$ / Ha soluciones individuales en riego</t>
  </si>
  <si>
    <t>Pequeños y pequeños asociados</t>
  </si>
  <si>
    <t>ICR  promedio pequeños y asociativos</t>
  </si>
  <si>
    <t>ICR Promedio demás</t>
  </si>
  <si>
    <t>Es un valor estimado de soluciones individuales para riego.</t>
  </si>
  <si>
    <t>$ / Ha soluciones individuales en riego</t>
  </si>
  <si>
    <t>Has de maiz  estimadas para pequeños y/ asociados</t>
  </si>
  <si>
    <t>Has de maiz estimadas para demás productores</t>
  </si>
  <si>
    <t>ICR Pequeños y asociativos</t>
  </si>
  <si>
    <t>ICR demás tipos de productores</t>
  </si>
  <si>
    <t>Incentivo (tecnologías limpias) 5.1</t>
  </si>
  <si>
    <t xml:space="preserve">%  estimado para  nuevas empresas </t>
  </si>
  <si>
    <t>Valor estimado para nuevas empresas</t>
  </si>
  <si>
    <t>% Estimado para apoyo por tipo de empresa</t>
  </si>
  <si>
    <t>Incentivo/crédito</t>
  </si>
  <si>
    <t>Incentivo vivienda P.6.1</t>
  </si>
  <si>
    <t>Valor vivienda rural</t>
  </si>
  <si>
    <t>% cuota inicial</t>
  </si>
  <si>
    <t>Valor global subsidiado</t>
  </si>
  <si>
    <t>Valor promedio servicios públicos hogar P.6.1</t>
  </si>
  <si>
    <t>Incentivo servicios públicos</t>
  </si>
  <si>
    <t>Incentivo a las TICs 6.1 y 6.2</t>
  </si>
  <si>
    <t>Valor Tablet</t>
  </si>
  <si>
    <t>Incentivo conectividad 6.1</t>
  </si>
  <si>
    <t>Valor pago servicio internet anual</t>
  </si>
  <si>
    <t xml:space="preserve">Incentivo a las Unidades Productoras  6.3 </t>
  </si>
  <si>
    <t>Preparación de suelo y encalado</t>
  </si>
  <si>
    <t>Semillas hibrida</t>
  </si>
  <si>
    <t>Promedio UPA Maiz Tradicional</t>
  </si>
  <si>
    <t>Persona requerido por UPA</t>
  </si>
  <si>
    <t xml:space="preserve">Costo Persona por UPA </t>
  </si>
  <si>
    <t>Costo persona 8 Meses</t>
  </si>
  <si>
    <t>Has Maiz Tradicional</t>
  </si>
  <si>
    <t>Has asistidas por UPA promedio</t>
  </si>
  <si>
    <t>Promoción  al emprendimiento P. 6.4</t>
  </si>
  <si>
    <t xml:space="preserve">Valor costo ha de tierra 7.2 </t>
  </si>
  <si>
    <t>has</t>
  </si>
  <si>
    <t>Incentivo a la formalización de la tierra pequeños</t>
  </si>
  <si>
    <t>Se estima un 5% para documentos</t>
  </si>
  <si>
    <t>Corresponden a los pagos realizados para el personal en concepto de remuneración del trabajo ya sea de manera directa o indirecta.  
Fuente: Eustat, Instituto Vasco de Estadística. Consulta  14 abril 2021.</t>
  </si>
  <si>
    <t xml:space="preserve">Fuente: DNP, Anexo No. 2, Tabla de honorarios de contratos de prestación de servicios profesionales y apoyo a la gestión. Consulta. 14 de abril 2021. 
</t>
  </si>
  <si>
    <t>https://colaboracion.dnp.gov.co/cdt/contratacion/tabla%20de%20honorarios%202015-2.pdf?web</t>
  </si>
  <si>
    <t>b. Equipo humano</t>
  </si>
  <si>
    <t>2. Costos de desplazamiento</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</si>
  <si>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</si>
  <si>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Fuente: Adaptado de la definición dada en la Resolución 0418 del 20 de abril del 2020.</t>
  </si>
  <si>
    <t>https://minciencias.gov.co/sites/default/files/upload/reglamentacion/resolucion_0418-2020.pdf</t>
  </si>
  <si>
    <t>Concepto utilizado para nombrar al dinero o las especies que se le entregan a una persona para cubrir los gastos que incurren para el cumplimiento de sus funciones fuera del área habitual de trabajo o sustentar un viaje.
Para el ejercicio de estimación de costos, este valor es tomado de la tabla de honorarios y viáticos del DNP 2020.
Fuente: Adaptado de la definición del blog de emprendimiento
https://liderdelemprendimiento.blogspot.com/2017/03/que-son-los-viaticos.html</t>
  </si>
  <si>
    <t>b. Tiquetes Nacionales</t>
  </si>
  <si>
    <t xml:space="preserve">Es la relación entre el valor de una moneda y otra, es decir, nos indica cuántas unidades  de una divisa se necesitan para obtener una unidad de otra. Fuente: Adaptado  Wikipedia.
</t>
  </si>
  <si>
    <t>Es la relación entre el valor de un dólar y un peso,  es decir,  indica cuántos pesos se requiere  para un dólar. Por ejemplo, para el 2020, se requieren 3693 pesos para adquirir un dólar estadunidense.  Fuente: Adaptado Wikipedia.</t>
  </si>
  <si>
    <t>Es la relación entre el valor de un dólar y un euro, es decir,  indica cuántos pesos se requiere  para un euro.   Por ejemplo, para el 2020, se requieren 4.214  pesos para adquirir un euro.  Fuente: Adaptado Wikipedia</t>
  </si>
  <si>
    <t>Es  el costo asignado a una estructura de publicidad exterior consistente en un soporte plano sobre el que se fijan anuncios publicitarios. Para las ciudades principales, el costo asignado incluye el costo de diseño, elaboración y alquiler del sitio de publicación de la valla. Fuente: Adaptado Wikipedia</t>
  </si>
  <si>
    <t>Es  el costo asignado a una estructura de publicidad exterior consistente en un soporte plano sobre el que se fijan anuncios publicitarios. Para las ciudades no principales, el costo asignado incluye el costo de diseño, elaboración y alquiler del sitio de publicación de la valla.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</si>
  <si>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nacional.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</si>
  <si>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regional. Fuente: Adaptado Wikipedia</t>
  </si>
  <si>
    <t>Es el costo asignado a un conjunto de piezas creadas con el objetivo de difundir una estrategia institucional. La campaña publicitaria institucional  Incluye impresos, cuñas  paquetes de cuñas radiales regionales, brochures, pautas en redes sociales, comerciales de tv a nivel regional,  material promocional y vallas promocionales. Fuente: Adaptado Wikipedia</t>
  </si>
  <si>
    <t>k. Campaña nacional de promoción al consumo</t>
  </si>
  <si>
    <t>Es el costo asignado a un conjunto de piezas creadas con el objetivo de promover el consumo de un producto o bien.  Fuente: Elaboración propia</t>
  </si>
  <si>
    <t>Es el costo asignado al valor del espacio dentro de una feria o salón en el nivel nacional, en el que una empresa o institución  expone y presenta sus productos o servicios . Fuente_ Adaptado Wikipedia</t>
  </si>
  <si>
    <t>Es el costo asignado al valor del espacio dentro de una feria o salón a nivel regional, en el que una empresa o institución  expone y presenta sus productos o servicios . Fuente_ Adaptado Wikipedia</t>
  </si>
  <si>
    <t>n. Plan de medios radial regional</t>
  </si>
  <si>
    <t>Es el costo asignado a la planificación estratégica de campañas o comunicación para llegar al público objetivo a nivel regional. Fuente: Elaboración propia</t>
  </si>
  <si>
    <t>Es el costo asignado a la planificación estratégica de campañas o comunicación de una institución para llegar al público objetivo. Fuente: Elaboración propia</t>
  </si>
  <si>
    <t>o. Material promocional</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</si>
  <si>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t>
  </si>
  <si>
    <t>b. Rueda de negocio virtual</t>
  </si>
  <si>
    <t>Es el costo asignado al mecanismo que permite el encuentro entre emprendedores, empresarios, inversores e instituciones que buscan lograr acuerdos para abrir oportunidades de compra o venta de servicios, productos o procesos de  forma virtual.</t>
  </si>
  <si>
    <t>c. Participación en ferias comerciales</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</si>
  <si>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t>
  </si>
  <si>
    <t>d. Ferias comerciales internacionales</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</si>
  <si>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t>
  </si>
  <si>
    <t>Es el costo asignado al proceso de certificación del conocimiento en una temática determinada y debe cumplir unas horas de formación.  El costo asignado incluye honorarios de capacitador para 30 personas, refrigerio, material de divulgación y auditorio.</t>
  </si>
  <si>
    <t xml:space="preserve"> b. Cursos cortos virtuales</t>
  </si>
  <si>
    <t xml:space="preserve">Es el costo asignado al proceso de certificación del conocimiento en una temática determinada  de manera virtual y debe cumplir unas horas de formación.  El costo asignado es el 30% del costo estimado del curso corto de manera presencial. </t>
  </si>
  <si>
    <t>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El costo asignado incluye honorarios de capacitador para 30 personas, refrigerio, material de divulgación y auditorio.</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</si>
  <si>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</si>
  <si>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 xml:space="preserve">Es el costo por promedio por persona para realizar un diplomado, referente a matricula en universidad privada.  </t>
  </si>
  <si>
    <t>Es el costo por promedio por persona para realizar un diplomado, referente a matricula en universidad privada.  El costo asignado corresponde al 30% del diplomado presencial.</t>
  </si>
  <si>
    <t>Es el costo promedio asignado por persona  para obtener un grado académico de posgrado otorgado por una universidad privada.</t>
  </si>
  <si>
    <t>Es el costo promedio asignado por persona a un  programa  para obtener un  título superior otorgado por una universidad privada y es también un aval que acredita la experticia en un tema específico para la persona que lo ha obtenido.</t>
  </si>
  <si>
    <t>10. Infraestructura</t>
  </si>
  <si>
    <t xml:space="preserve">11. Apoyos e  Incentivos </t>
  </si>
  <si>
    <t xml:space="preserve">Es el costo del incentivo asignado a la compra de vivienda es de $21.000.000, que corresponde al 30% del valor estimado de la cuota incial de una vivienda rural (68 millones). Se estima incentivar el 50% del valor de la cuota inicial. </t>
  </si>
  <si>
    <t xml:space="preserve">Es el valor del incentivo asignado a los servicios públicos rurales de una familia, cuyo valor se estimó en un valor promedio de $25.000, solo por una vez al año. </t>
  </si>
  <si>
    <t>Es el valor del incentivo asignado al valor promedio de una Tablet por familia, el cual fue estimado en $300.000.</t>
  </si>
  <si>
    <t>Es el valor del incentivo asignado al  costo promedio de internet en un año  por familia, el valor estimado es de $600.000 anuales.</t>
  </si>
  <si>
    <t>En la estimación del pago  a las personas naturales contratadas por prestación de servicios profesionales y de apoyo a la gestión. Para el ejercicio de estimación de costos, este valor es tomado de la tabla de honorarios y viáticos del DNP 2021.
Fuente: DNP, Anexo No. 2, Tabla de honorarios de contratos de prestación de servicios profesionales y apoyo a la gestión. Consulta. 14 de abril 2021. 
https://colaboracion.dnp.gov.co/CDT/Contratacion/Tabla%20de%20Honorarios%202021.pdf?</t>
  </si>
  <si>
    <t xml:space="preserve">Es el valor otorgado al costo de desplazarse  entre los aeropuertos y las subregiones maiceras. Fuente: Elaboración propia. </t>
  </si>
  <si>
    <t>3. Regiones</t>
  </si>
  <si>
    <t>3. Regiones Maiceras</t>
  </si>
  <si>
    <t>Es la suma del valor promedio mensual otorgado a los peajes para desplazarse en las regiones maiceras y al valor promedio hallado para el combustible estimado para desplazarse en las regiones maiceras, lo cual se considera el valor requerido de rodamiento.</t>
  </si>
  <si>
    <t>f. Apoyos tecnológicos  y herramientas de diagnóstico</t>
  </si>
  <si>
    <t>f. Apoyos Tecnológicos y herramientas de diagnóstico</t>
  </si>
  <si>
    <t>También se costean herramientas de diagnóstico como barreno, medido de pH y otros.</t>
  </si>
  <si>
    <t>b. Tiquetes Nacionales aéreos</t>
  </si>
  <si>
    <t>c. Valor dado al desplazamiento Terrestre por persona/promedio ( 2 dias)</t>
  </si>
  <si>
    <t>c. Desplazamiento Terrestre Profesionales</t>
  </si>
  <si>
    <t>d. Peaje promedio mensual</t>
  </si>
  <si>
    <t>4. Actividades Grupales</t>
  </si>
  <si>
    <t>a. Subregiones</t>
  </si>
  <si>
    <t>b. Macroregiones técnificadas</t>
  </si>
  <si>
    <t>Corresponde a los gastos que se debe incurrir para  llevar a cabo los proyectos y que involucra a más de una persona, ya sea grupos pequeños, medianos y grandes y se persiguen para alcanzar los objetivos propios de cada uno de los temáticas trabajadas en la cadena maicera. Elaboraicón propia 2022</t>
  </si>
  <si>
    <t>Es el valor promedio estimado de los honorarios del grupo de personas que desarrolla el proyecto, en algunos casos  la gestión de las personas corresponde al ámbito nacional y en otros al regional. Fuente: Elaboración propia 2022</t>
  </si>
  <si>
    <t>Es un valor de referencia sobre el  costo de  los vuelos que se efectúan dentro de las fronteras del país y que corresponden a las ciudades que cuentan con mayor frecuencia de vuelos,  para la cadena de maiz.
Fuente: Elaboración Propia 2022</t>
  </si>
  <si>
    <t xml:space="preserve"> Corresponde a un valor global simple  del costo promedio de peajes entre las subregiones.  Elaboración propia 2022</t>
  </si>
  <si>
    <t>Es el valor otorgado al alquiler de  una GPS y un computador para ser usado como herramienta de trabajo en su oficio. También se costean herramientas de diagnóstico como barreno, medido de pH y otros. Fuente: Elaboración propia 2022</t>
  </si>
  <si>
    <t xml:space="preserve">Es un valor de referencia sobre el  costo de  los vuelos que se efectúan fuera de las fronteras del país. Se identificó un precio promedio para cuatro  países de referencia para la cadena de maiz. Fuente: Elaboración propia 2022
</t>
  </si>
  <si>
    <t>Es el valor otorgado a los espacios de intercambio de experiencias sobre temáticas relacionadas con el sector maicero para la construcción conjunta de propuestas y recomendaciones que contribuyan a fortalecer el trabajo colaborativo entre los interesados. Se costea un refrigerio, cafe y otros.
 Fuente: Adaptado Sistema de información ambiental de Colombia.</t>
  </si>
  <si>
    <t>Es el valor otorgado al  gasto  que se debe incurrir para realizar  proyectos en el ámbito  nacional y/ regional de manera presencial, encaminadas a la capacitación, socialización, promoción, divulgación  y gestión de temas de temas referentes al sector maciero. Se calcula asistencia para 40 personas.  Se costea un auditorio, refrigerio, estación de café y otros, material de dilvulgación y promoción, protocolos de bioseguridad. Fuente: Elaboración propia 2022</t>
  </si>
  <si>
    <t xml:space="preserve">Material de divulgación y promoción </t>
  </si>
  <si>
    <t>Es el valor otorgado al costo de la constitución de equipos de asistentes técnicos  y/o visitas que se ejecutan en los diferentes eslabones de acuerdo a la necesidad del proyecto, para realizar transferencia de conocimiento de  temas específicos de la cadena maicera. Su costo incluye refrigerio e hidratación, almuezo, material de divulgación y promoción, apoyos tecnológicos y herramientas de diagnóstico, protocolo de biosegurdida, desplazamiento de personas para 20 personas. Fuente : Elaboración propia 2022.</t>
  </si>
  <si>
    <t>Es el valor estimado a la constitución de una parcela demostrativa o lotes modelos para una hectárea de maiz. Se estima costos de semilla,abonos, fitosanitarios, laborales y análisis de laboratorios.  Fuente: Elaboración propia 2022.</t>
  </si>
  <si>
    <t>e. Mesas de trabajo virtuales</t>
  </si>
  <si>
    <t>10% costo presencial</t>
  </si>
  <si>
    <t xml:space="preserve">Es el 20% del  valor otorgado a las mesas de trabajo presencial. 
 Fuente: Elaboración propia, 2022 </t>
  </si>
  <si>
    <t>f. Talleres y/ o eventos de divulgación nacionales y/o regionales virtuales (Productor, transformador, comercialización)</t>
  </si>
  <si>
    <t>20% costo presencial</t>
  </si>
  <si>
    <t>f. Talleres y/ o eventos de divulgación nacionales y/o regionales virtuales  (Productor, transformador, comercialización)</t>
  </si>
  <si>
    <t xml:space="preserve">Es el 20% del  valor otorgado a los talleres y/o eventos de divulgación nacionales y/o regionales a realizarse de manera  presenciales. 
 Fuente: Elaboración propia, 2022 </t>
  </si>
  <si>
    <t xml:space="preserve"> Promedio simple anual para los años 2020 y 2021. Primer trimestre del 2022</t>
  </si>
  <si>
    <t>Es el costo asignado a un grupo de anuncios auditivo destinados a publicitar diversos productos, empresas, marcas o servicios a través de mensajes que no excede los 10s a 30 segundos de duración. Para hallar el valor nacional, se realiza un promedio simple de tres cotizaciones para secciones radiales a nivel nacional, que incluye secciones  radiales al mediodía, noticias de las 10 am y noticiero de las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</si>
  <si>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b. Secciones radiales regionales</t>
  </si>
  <si>
    <t xml:space="preserve">Es el costo asignado a un grupo de anuncios auditivos destinados a publicitar diversos productos, empresas, marcas o servicios a través de mensajes que no exceden los 10s a 30 segundos de duración. Para hallar el valor regional, se realiza un promedio simple, teniendo en cuenta las regiones relacionas con la cadena maicera. El valor standard es de 30 seg. Fuente: Adaptado Directorio de Negocios </t>
  </si>
  <si>
    <t>Es el costo asignado a un grupo de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</si>
  <si>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Es el costo asignado a un conjunto de piezas creadas con el objetivo de difundir una marca,  producto o un servicio a nivel nacional. La campaña publicitaria nacional contiene  equipo organizador, impresos, secciones radiales nacionales, comerciales a tv nacional, pautas en redes sociales y vallas publicitarias, para un mes de difusión. Fuente: Adaptado Wikipedia</t>
  </si>
  <si>
    <t>Es el costo asignado a un conjunto de piezas creadas con el objetivo de difundir una marca,  producto o un servicio a nivel regional. La campaña publicitaria regional incluye  equipo organizador, impresos, secciones radiales regionales, comerciales a tv regional, pautas en redes sociales y vallas publicitarias regionales. Fuente: Adaptado Wikipedia.</t>
  </si>
  <si>
    <t>Stand</t>
  </si>
  <si>
    <t>ñ. Plan de medios  radial Institucional</t>
  </si>
  <si>
    <t>Es el costo global asignado a una gama de producos que representen una marca, empresa  u organización  que requiera que un público determinado la conozca. Fuente Concepto definición</t>
  </si>
  <si>
    <t xml:space="preserve">Es el costo por promedio por persona para realizar formación tecnológica y/o universitaria  en temas referentes al sector maicero. El costo asignado corresponde la matricula. </t>
  </si>
  <si>
    <t>Incluye el  costo asignado  del consultor  al predio o al sitio para verificar el proceso de cumplimiento de la norma a certificar y el costo  del proceso de certificación por un ente acreditado de la norma diferenciadora implementada por el productor, transformador y/comercializador.</t>
  </si>
  <si>
    <t>a. Instalación de secamiento y almacenamiento integrada con silos metalicos</t>
  </si>
  <si>
    <t>b. Infraestructura en procesamiento de maiz</t>
  </si>
  <si>
    <t>c. Planta para secamiento, almacenamiento y producción de harinas precocidas</t>
  </si>
  <si>
    <t>b. Incentivo Valor Agregado  1.2</t>
  </si>
  <si>
    <t>a. Costos garantia  FAG  y registro BMC de contratos forward sin administración de garantías 1.1</t>
  </si>
  <si>
    <t>d. LEC Compra cal dolomita  has de maiz 2.2</t>
  </si>
  <si>
    <t>c. Valor ICR Cal dolomita</t>
  </si>
  <si>
    <t>d. Valor LEC Cal dolomita</t>
  </si>
  <si>
    <t xml:space="preserve">Para la cadena de maiz se consideran 7 regiones productoras, las cuales se  determinaron a partir de la división de regiones naturales del IGAC y de la zonificación del ICA para registro de cultivares, teniendo en cuenta datos del  CNA 2014  de UPAs productoras de maiz en altitud menor a 1.800 m.s.n.m  y de municipios con producción mayor a 300 toneladas. Fuente. Documento de reginalización Maiz. UPRA. </t>
  </si>
  <si>
    <t>Para la cadena de maiz se consideraron 19 subregiones maicera, la cual se realizó a partir de aspectos geográficos como su topografía, relieve, hidrografía, pluviosidad, clima y tipo de suelos. En el proceso de costeo para actividades relacionadas con producción tecnificada, se consideraron las  diez (10) subregiones que cuentan con más del 30% en la producción de maíz tecnificado. Fuente: Elaboración Propia. 2022</t>
  </si>
  <si>
    <t xml:space="preserve">Es un agrupación espacial mayor ralizada  en 4 regiones macro  que son: Costa, Tolima, Valle, Llanos, las cuales son  reconocidas por su importancia en la producción actual y potencial de crecimiento. Fuente: Elaboración propia. 2022. </t>
  </si>
  <si>
    <t>Es el costo asignado a un paquete de análisis que incluye analisis fisico - químico de suelos, textura, pH, contenidos de elementos minerales nutricionales, carbono organico, cálculo relaciones de intercambio,niveles de saturación y disponibilidad de elementos en la solución del suelo. Fuente. Elaboración propia 2022.</t>
  </si>
  <si>
    <t>Es el costo asignado al análisis de clasificación de granos de maiz para consumo, según la NTC 366. Fuente.Elaboración propia 2022</t>
  </si>
  <si>
    <t>Es el costo asignado  al análisis  mediante Kit para la determinanción de Aflatoxinas Totales semicuantitativo. Fuente: Elaboración 2022</t>
  </si>
  <si>
    <t xml:space="preserve">Corresponde a un sistema integrado para el beneficio de granos, que incluye la atención de las etapas de recibo, prelimpieza, limpieza, secado en torre, elevadores, transportadores, silos de reposo, trabajo, y  silos de almacenamiento metálicos. Fuente: Elaboración propia 2022. </t>
  </si>
  <si>
    <t>Corresponde a trilladoras como equipo basico del procesamiento industrial de maíz con bajo valor agregado, en la linea de productos para consumo humano. Fuente: Elaboración propia</t>
  </si>
  <si>
    <t>Corresponde a un sistema integrado para el beneficio de granos de maiz y su procesamiento industrial de mayor valor agregado en la producción de harinas precocidas. Fuente Elaboración propia 2022.</t>
  </si>
  <si>
    <t xml:space="preserve">Es un valor estimado para constituir  garantías FAG  y registro los contratos forward de maiz ante la Bolsa Mercantil de Colombia, el cual es estimó como una alternativa  de financiamiento para los productores, la cual genera la obtención de recursos financieros no formales como anticipo al vendedor. </t>
  </si>
  <si>
    <t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</si>
  <si>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</si>
  <si>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</si>
  <si>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</si>
  <si>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</si>
  <si>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lo adopción de tecnología y al incremento en los rendimientos en los sistemas tradicionales de maíz.
</t>
  </si>
  <si>
    <t>2.1.1. Priorizar y seleccionar productores que requieren asistencia técnica básica de acuerdo con la caracterización a nivel subregional de la actividad 9.4.3.</t>
  </si>
  <si>
    <t>2.1.2. Realizar acompañamiento técnico y financiero a los productores seleccionados, para fomentar el uso de semillas híbridas, con alto potencial de rendimiento, calidad de grano, adaptadas a las condiciones agroecológicas de cada región, y para escalar su uso.</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</si>
  <si>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</si>
  <si>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</si>
  <si>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2.1.5. Promover la educación financiera para fortalecer la planificación y administración de la unidad productiva y mejorar el acceso y uso de los servicios financieros existentes.</t>
  </si>
  <si>
    <t>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t>
  </si>
  <si>
    <t xml:space="preserve">2.1.7. Implementar un mecanismo de monitoreo del nivel de adopción de tecnologías y su impacto en el aumento de los rendimientos en el cultivo de maíz tradicional. </t>
  </si>
  <si>
    <t>2.2. Implementación efectiva de asistencia técnica profesional, en sistemas tecnificados de maíz.</t>
  </si>
  <si>
    <t>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</si>
  <si>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</si>
  <si>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2.2.3. Brindar acompañamiento técnico a los productores tecnificados, para facilitar el acceso a semillas con alto grado de mejoramiento genético (híbridos, OGM, y aquellas desarrolladas con nuevas tecnologías), adaptadas a las condiciones agroecológicas de las diferentes regiones, tolerantes o resistentes a  plagas y enfermedades,  de mayor potencial de productividad, y con los tipos de grano demandados en el mercado.</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</si>
  <si>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</si>
  <si>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</si>
  <si>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</si>
  <si>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2.2.7. Implementar un mecanismo de monitoreo del nivel de adopción e impacto en la productividad, la escala, la competitividad y la empresarización, de las prácticas de manejo, las tecnologías y modelos de gestión empresarial aplicados por los productores, en las regiones maiceras.</t>
  </si>
  <si>
    <t xml:space="preserve">2.3. Impulso a la producción de maíz a mediana y gran escala.  </t>
  </si>
  <si>
    <r>
      <t>2.3.1. Clasificar y priorizar áreas adecuadas para inversiones en la producción de maíz a mediana y gran escala, en las regiones maiceras, de acuerdo con su aptitud, infraestructura productiva, oportunidades de mercado, entre otras.</t>
    </r>
    <r>
      <rPr>
        <strike/>
        <sz val="12"/>
        <color theme="1"/>
        <rFont val="Arial"/>
        <family val="2"/>
      </rPr>
      <t/>
    </r>
  </si>
  <si>
    <t>2.3.2. Identificar y convocar, a través de los gremios del sector, de ProColombia y de otras entidades, a inversionistas y empresarios, nacionales o extranjeros, con interés en realizar inversiones en el cultivo de maíz a mediana y gran escala.</t>
  </si>
  <si>
    <t xml:space="preserve">2.3.3. Constituir un banco de proyectos de inversión en producción de maíz a mediana y gran escala con enfoque de mercado, que permita identificar y gestionar profesionalmente iniciativas y estímulos a la inversión. </t>
  </si>
  <si>
    <t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t>
  </si>
  <si>
    <t>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t>
  </si>
  <si>
    <t>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t>
  </si>
  <si>
    <t>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t>
  </si>
  <si>
    <t>3.4.3. Fomentar la creación de empresas: comerciales, de insumos, de bioinsumos, de servicios, logística y de tecnología, a través de acompañamiento técnico y de la divulgación de los instrumentos financieros disponibles, a los productores y/o agroindustriales.</t>
  </si>
  <si>
    <t>La disponibilidad de tierras que brindan condiciones para la expansión de las siembras de maíz en mayor escala, generó un importante interés de empresarios nacionales y extranjeros, vinculados con la producción agropecuaria que, encontraron condiciones suficientes de seguridad jurídica y estabilidad para sus inversiones y facilidades para agilizar la validación y adopción de tecnologías que ya han sido probadas exitosamente en países líderes de la región, dentro de un marco de sostenibilidad social y ambiental. 
Las inversiones fluyeron y desde hace 20 años, se desarrollan nuevos proyectos de agricultura empresarial de gran escala, alta tecnología y productividad, para lo cual fue fundamental la promoción de alianzas estratégicas y de integración vertical con la producción pecuaria y el cultivo de soya, así como el desarrollo del mercado  de contratos de futuros, y el aprovechamiento de instrumentos de política  para impulsar la importación de maquinaría, la  inversión  en almacenamiento y en producción de insumos claves para el cultivo de maíz.</t>
  </si>
  <si>
    <t>Servicio de acompañamiento para facilitar la importación de maquinaria y equipos de alta tecnología.
Servicio de apoyo financiero para el almacenamiento de granos a escala.
Servicios de apoyo para la generación de Alianzas Estratégicas en modelos agroempresariales integrales. 
Servicio de apoyo para desarrollo de la industria de cal y otras enmiendas del suelo.
Servicio de apoyo para promover la producción de materias primas requeridas en la fabricación de fertilizantes simples.
Servicio de apoyo para la suscripción de contratos de futuros.
Servicio de acompañamiento para la constitución de Zonas francas.</t>
  </si>
  <si>
    <t>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t>
  </si>
  <si>
    <t>3.5.6. Incentivar la suscripción e implementación de contratos de futuros y otros instrumentos específicos de comercialización de maíz, de acuerdo con los avances de la actividad 9.3.7.</t>
  </si>
  <si>
    <t>3.5.7. Orientar y brindar acompañamiento a los empresarios, para la constitución y uso de Zonas francas, como instrumento de promoción de grandes inversiones en la cadena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</si>
  <si>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</si>
  <si>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5.1.7. Establecer la línea base y el sistema de monitoreo y medición del desempeño ambiental de la cadena de maíz.</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</si>
  <si>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</si>
  <si>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6.3.2. Realizar campañas de sensibilización para promover la inclusión social en los sistemas de seguridad social y la formalización laboral a lo largo de toda la cadena productiva.</t>
  </si>
  <si>
    <t>6.3.3. Realizar capacitación y brindar acompañamiento técnico dirigido a los agentes económicos de la cadena maicera, relacionado con aspectos laborales, financieros y tributarios.</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</si>
  <si>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</si>
  <si>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6.3. Promoción al  acceso en la seguridad social y mejora en las condiciones laborales a lo largo de la cadena</t>
  </si>
  <si>
    <t>6.4. Contribución a la mejora de condiciones de conectividad vial y de servicios públicos, en las regiones maiceras.</t>
  </si>
  <si>
    <t>6.4.1. Priorizar zonas estratégicas de intervención, para el mejoramiento de la infraestructura de conectividad vial y cobertura de servicios públicos en las regiones maiceras, acordes con proyectos de inversión privada en la producción y procesamiento de maíz.</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</si>
  <si>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</si>
  <si>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t>
  </si>
  <si>
    <t>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t>
  </si>
  <si>
    <t>Documentos de apoyo técnico para el desarrollo de intervenciones en conectividad vial y de servicios públicos.
Servicio de apoyo para la estructuración de iniciativas dirigidas al aprovechamiento de beneficios tributarios.</t>
  </si>
  <si>
    <t xml:space="preserve">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territorial. </t>
  </si>
  <si>
    <t xml:space="preserve">Servicio de promoción y divulgación de la normatividad relacionada con la frontera agrícola para los productores y demás actores de la cadena de maíz.
Servicio de apoyo para la gestión de procesos de participación en instancias municipales y departamentales.
Servicio de acompañamiento técnico y financiero a los productores de maíz para el uso y aprovechamiento eficiente del suelo.
Servicio de Información Observatorio de Tierras.
</t>
  </si>
  <si>
    <t>7.2.2. Generar y promover esquemas de acceso a la tierra con seguridad jurídica, que garanticen condiciones de estabilidad a la producción de maíz.</t>
  </si>
  <si>
    <t>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</si>
  <si>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</si>
  <si>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</si>
  <si>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</si>
  <si>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t>
  </si>
  <si>
    <t>9.1.5. Fortalecer el control de calidad e inocuidad y la identificación de riesgos sanitarios en la cadena del maíz, a través de la consolidación de una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</si>
  <si>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</si>
  <si>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 xml:space="preserve">9.1.7. Diseñar e implementar una estrategia de comunicación y divulgación de la normatividad del sistema IVC con acompañamiento técnico por parte de las entidades de IVC, dirigida a los diferentes actores a lo largo de la cadena. </t>
  </si>
  <si>
    <t>9.1.8. Realizar el seguimiento y monitoreo del fortalecimiento del sistema IVC.</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</si>
  <si>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</si>
  <si>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 xml:space="preserve">9.2.4. Diseñar y/o mejorar las normas técnicas para la comercialización de maíz, acorde con los estándares internacionales, que determinan la clase, el tipo y el grado, así como promover su aplicación entre los actores de la cadena. </t>
  </si>
  <si>
    <t xml:space="preserve">9.2.6. Evaluar, adaptar, mejorar y/o profundizar los instrumentos, bien sea que ya existan en el país o no, pero que son ampliamente utilizados en otros países, para la gestión de riesgos climáticos y de mercados, fortaleciendo e incrementando el uso de seguros agrícolas, los contratos de futuro y las coberturas de precios y tasa de cambio, entre otros, relacionados con la cadena de maíz. </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</si>
  <si>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</si>
  <si>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9.3.4. Revisar la normatividad vigente sobre el acceso a la tierra para la consolidación y seguridad jurídica de las inversiones privadas en la producción de maíz, teniendo en cuenta las diferentes escalas de inversión y los tiempos de retorno. </t>
  </si>
  <si>
    <t>9.3.6. Diseñar incentivos para inversiones de mediana y gran escala que incluyan topes acordes a la realidad del mercado y de la actividad, para el establecimiento de sistemas productivos que mantienen de forma permanente la rotación de cultivos de ciclo corto.</t>
  </si>
  <si>
    <t>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t>
  </si>
  <si>
    <t>Servicio de apoyo en la conformación de una red colaborativa para los procesos de validación tecnológica.
Documentos de instrumentos técnicos de evaluación y seguimiento ambiental.
Documentos normativos sobre el acceso a la tierra para la consolidación y seguridad jurídica de las inversiones privadas en la producción de maíz.
Documentos de diagnóstico tributarios.
Documentos de lineamientos técnicos sobre incentivos para inversiones de mediana y gran escala  
Documentos de lineamientos técnicos  para el desarrollo del mercado de contratos de futuros.</t>
  </si>
  <si>
    <t>9.5.5. Consolidar la gestión de los comités regionales de la cadena de maíz, a través de la gestión gradual del POP para la cadena maicera y los Planes Maestros de Reconversión Productiva - PMRP, en concordancia con el proyecto 9.6. Adopción, promoción y monitoreo de la política pública para la cadena de maíz.</t>
  </si>
  <si>
    <t>Asistencia técnica para unidades productoras sistema tecnificado 2.1</t>
  </si>
  <si>
    <t>ICR y LEC Compra cal dolomita  has de maiz 2.2</t>
  </si>
  <si>
    <t>e. LEC Maquinaria- 2.2</t>
  </si>
  <si>
    <t>Maquinaria Proyecto 2.2</t>
  </si>
  <si>
    <t>c. ICR Compra cal dolomita  has de maiz 2.2</t>
  </si>
  <si>
    <t xml:space="preserve">e.  ICR modernización maquinaria de acuerdo al tipo de productor. </t>
  </si>
  <si>
    <t xml:space="preserve">Es el costo del incentivo a la promoción del emprendimiento para pequelas y medianas empresas,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</si>
  <si>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Fuente. Elaboración propia</t>
  </si>
  <si>
    <t>f.  LEC modernización maquinaria   de acuerdo al tipo de productor.  2.2</t>
  </si>
  <si>
    <t>g.  Capital de trabajo para comercialización  o procesamiento 3.1</t>
  </si>
  <si>
    <t>h. Promoción  al emprendimiento P. 3.3 , 3.4, 3.5, 8.1</t>
  </si>
  <si>
    <t>Es el costo del incentivo asignado al valor agregado para empresas, se  calculó teniendo en cuenta el valor de los ingresos de micro y pequeñas empresas, de acuerdo a la clasificación de la Dian, a la cual se le estimó un porcentaje del 10% y 5% del valor anual de los ingresos estimados y a este resultado se le calculó el 10% y el 5%, lo cual arroja un  valor de apoyo para la generación de valor agregado para micro y pequeñas empresas de $8.954.883 y $19,476.575 respectivamente.</t>
  </si>
  <si>
    <t>Se propone un incentivo para inversiones en tecnologías y prácticas sostenibles se  calculó teniendo en cuenta el valor de los ingresos de micro y pequeñas empresas, de acuerdo a la clasificación de la Dian, a la cual se le estimó un porcentaje del 3%, 2 y 0.5 % del valor anual de los ingresos estimados y a este resultado se le calculó el 40%, 25%  y  20%, lo cual arroja un  valor de apoyo para la generación de valor agregado para micro y pequeñas empresas de $10.745.859, $ 38.953.150, $65.996.416, respectivamente.</t>
  </si>
  <si>
    <t>j. Incentivo vivienda. Proyecto 6.1</t>
  </si>
  <si>
    <t>l. Incentivo a la TICS. Proyecto 6.2</t>
  </si>
  <si>
    <t>m. Incentivo a la conectividad. Proyecto 6.2</t>
  </si>
  <si>
    <t>k. Incentivo por servicios públicos. Proyecto 6.2</t>
  </si>
  <si>
    <t xml:space="preserve">Es el costo del incentivo a la promoción de la formalización para pequelas empresas, el valor del incentivo se calculó teniendo en cuenta el valor de los ingresos de micro, pequeñas,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</si>
  <si>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Es un incentivo propuesto para apoyar para las unidades productoras de maiz tradicional,  en relación a preparación de suelo y encalado, semilas hibrida, abonos y fitosanitario, que se calucló en $1.610.000 por hectárea.</t>
  </si>
  <si>
    <t xml:space="preserve">n. Incentivo a las Unidades Productoras  6.3 </t>
  </si>
  <si>
    <t>Se estima la creación de un incentivo a la formalización de la propiedad para pequeños con el fin de apoyar en temas de registro y documentación, por un valor de $3.000.000 a 20 productores de cada subregión</t>
  </si>
  <si>
    <t>j. LEC Adecuación de tierras 4.2</t>
  </si>
  <si>
    <t>i. ICR Pequeños y asociativos/ soluciones individuales de riego 4.2</t>
  </si>
  <si>
    <t>k. Incentivo (tecnologías limpias) 5.1</t>
  </si>
  <si>
    <t xml:space="preserve">Se propone un incentivo dirigido a promover la creación de empresas especializadas de extensión agrícola e industrial, el costo del incentivo a la promoción de la formalización para pequelas empresas, el valor del incentivo se calculó teniendo en cuenta el valor de los ingresos de micro, pequeñas,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</si>
  <si>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ñ. Incentivo a la formalización 6.3</t>
  </si>
  <si>
    <t>o. Incentivos a la formalización a la propiedad 7.2</t>
  </si>
  <si>
    <t>p. Incentivo microempresas técnicas especializadas  8.1</t>
  </si>
  <si>
    <t>En esta hoja se vincula la estimación de costos realizada para cada Programa (P1 , P2….hasta P9),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</si>
  <si>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Se propone un ICR para incentivar la  aplicación de cal por ha sembrada,  a través de un  incentivo a la adecuación química de suelos, a través de  la aplicación de 5 t/h de Cal dolomita, con un costo de $150.000 por tonelada; se sugiere la asignación de un ICR del 20% durante los 10 primeros años. Corresponde a la asignación de recursos de Incentivo a la Capitalización Rural que consiste en un abono que realiza FINAGRO a través del intermediario financiero a favor del beneficiario, en creditos de redescuento para financiar la actividad de inversión en adecuación de tierras, 547440 Corrección Química de Suelos.</t>
  </si>
  <si>
    <t>Es el costo que se propone para incentivar la  aplicación de cal por ha sembrada,  a través de un  incentivo a la adecuación química de suelos, a través de  la aplicación de 5 t/h de Cal dolomita, con un costo de $150.000 por tonelada; ya que es una inversión de lento retorno, a partir del año 12 y hasta el 20 se propone una línea especial de crédito, que subsidie el 7.5% del interés del valor del crédito. Corresponde a la asignación de recursos en Linea Especial de Credito con tasa subsidiada , en creditos de redescuento en FINAGRO para financiar la  inversión en adecuación de tierras, 547440 Corrección Química de Suelos.</t>
  </si>
  <si>
    <t>Se estima  un ICR para modernizar la maquinaria, a través de kits de maquinaria para atender 400 has de capacidad, cuyo costo por kit es de $2.570.750 según estudio realizado en la iniciativa soya maíz  proyecto maíz del 2021, se propone asignar recursos de  de ICR de un 40% para asociaciones de productores y un ICR de 20% a otros productores.Corresponde a la asignación de recursos de Incentivo a la Capitalización Rural que consiste en un abono que realiza FINAGRO a través del intermediario financiero a favor del beneficiario, en creditos de redescuento para financiar la  inversión en maquinaria y equipos.</t>
  </si>
  <si>
    <t>Se estima  un LEC para modernizar la maquinaria, a través de kits de maquinaria para atender 400 has de capacidad, cuyo costo por kit es de $2.570.750 según estudio realizado en la iniciativa soya maíz  proyecto maíz del 2021, para subsidiar 7.5% puntos de la tasa de interés del costo de la maquinaria.Corresponde a la asignación de recursos de Incentivo a la Capitalización Rural que consiste en un abono que realiza FINAGRO a través del intermediario financiero a favor del beneficiario, en creditos de redescuento para financiar la  inversión en maquinaria y equipos.</t>
  </si>
  <si>
    <t>Se estima  una tasa especial de crédito para comercializar y procesar, se hace un supuesto para comercializar 500 toneladas de maiz, por un valor promedio de $1.000.000 .Corresponde a la asignación de recursos en Linea Especial de Credito con tasa subsidiada, en creditos de redescuento en FINAGRO para financiar capital de trabajo en actividades de comercilización y/o transformación.</t>
  </si>
  <si>
    <t>Se estima un 7,5% anual del valor del crédito como subsisido a tasa de interés (LEC) por adecuación de tierras para uso agropecuario. Las hectáreas a apoyar corresponden a un  30% de las áreas estimadas a incrementar durante la ejecución del plan (950.000), es decir 285.000 . Se estima un valor por hectárea de $1.500.000 que es un supeusto técnico para la inversión en labores mecanización y encalamiento para adecuar tierras para el cultivo.  Corresponde a la asignación de recursos en Linea Especial de Credito con tasa subsidiada, en creditos de redescuento en FINAGRO para financiar la inversión en adecuación de tierras e infraestructura.</t>
  </si>
  <si>
    <t>Se estima un ICR para  soluciones individuales de riego para el 5% de las áreas estimadas a incrementar durante la ejecución del plan (950.000), es decir 47.500  de los cuales se estimó un 50% para pequeños y asociativos y un 30% para medianos, se considero un 20% para grandes; se sugiere un ICR de 40% para pequeños y pequelos asociativos y del 20% para medianos y a los grandes no les asigna incentivos.  El  supuesto técnico estimado para el valor de las soluciones individuales de riego es de $7.994.184/ha (USD 2.150 a una tasa de cambio de $3.718); que corresponde a un sistema de riego por pivote que incluye equipos, y no incluye mano de obra, ni infraestructura para captación de aguas.Corresponde a la asignación de recursos de Incentivo a la Capitalización Rural que consiste en un abono que realiza FINAGRO a través del intermediario financiero a favor del beneficiario, en creditos de redescuento para financiar la  inversión en maquinaria y equipos, 105001 Equipos y sistemas nuevos para riego y drenaje.</t>
  </si>
  <si>
    <r>
      <t>Se relacionan en el orden del portafolio de programas y proyect</t>
    </r>
    <r>
      <rPr>
        <sz val="12"/>
        <color theme="1"/>
        <rFont val="Arial"/>
        <family val="2"/>
      </rPr>
      <t xml:space="preserve">os, los </t>
    </r>
    <r>
      <rPr>
        <b/>
        <sz val="11"/>
        <color theme="1"/>
        <rFont val="Arial"/>
        <family val="2"/>
      </rPr>
      <t>12 programas y 27 proyectos.</t>
    </r>
  </si>
  <si>
    <r>
      <t>Contiene los valores presupuestados en</t>
    </r>
    <r>
      <rPr>
        <b/>
        <sz val="11"/>
        <color theme="1"/>
        <rFont val="Arial"/>
        <family val="2"/>
      </rPr>
      <t xml:space="preserve"> pesos</t>
    </r>
    <r>
      <rPr>
        <sz val="12"/>
        <color theme="1"/>
        <rFont val="Arial"/>
        <family val="2"/>
      </rPr>
      <t xml:space="preserve"> constantes de 2022 para </t>
    </r>
    <r>
      <rPr>
        <b/>
        <sz val="11"/>
        <color theme="1"/>
        <rFont val="Arial"/>
        <family val="2"/>
      </rPr>
      <t xml:space="preserve">cada año desde el año 0 hasta el al 20, </t>
    </r>
    <r>
      <rPr>
        <sz val="12"/>
        <color theme="1"/>
        <rFont val="Arial"/>
        <family val="2"/>
      </rPr>
      <t>para los 9</t>
    </r>
    <r>
      <rPr>
        <sz val="12"/>
        <color rgb="FFFF0000"/>
        <rFont val="Arial"/>
        <family val="2"/>
      </rPr>
      <t xml:space="preserve"> </t>
    </r>
    <r>
      <rPr>
        <sz val="12"/>
        <color theme="1"/>
        <rFont val="Arial"/>
        <family val="2"/>
      </rPr>
      <t xml:space="preserve">programas y 27 proyectos . Estos valores están vinculados desde cada hoja de proyecto "P1.1, P1.2…P9."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</si>
  <si>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Se relacionan en el orden del portafolio de programas y proyectos, los 9</t>
    </r>
    <r>
      <rPr>
        <b/>
        <sz val="11"/>
        <color theme="1"/>
        <rFont val="Arial"/>
        <family val="2"/>
      </rPr>
      <t xml:space="preserve"> programas y 27 proyectos</t>
    </r>
  </si>
  <si>
    <t xml:space="preserve">Contiene los valores estimados en pesos constantes de 2022 para el primer período de implementación, considerado el corto plazo, correspondiente a los 10 programas y 27 proyectos.
Este valor se vincula de la sumatoria de los valores de la hoja "Estimación de Costos Anualizada "para cada programa y proyecto del año 0 al 4. 
</t>
  </si>
  <si>
    <t xml:space="preserve">Contiene los valores estimados en pesos constantes de 2022 para el segundo período de implementación, considerado el mediano plazo, correspondiente a los 9 programas y 27 proyectos.
Este valor se vincula de la sumatoria de los valores de la hoja "Estimación de Costos Anualizada "para cada programa y proyecto del año 5 al 12. 
</t>
  </si>
  <si>
    <t xml:space="preserve">Contiene los valores estimados en pesos constantes de 2022 para el segundo período de implementación, considerado el mediano plazo, correspondiente a los 9 programas y 27 proyectos.
Este valor se vincula de la sumatoria de los valores de la hoja "Estimación de Costos Anualizada "para cada programa y proyecto del año 13 al 20. 
</t>
  </si>
  <si>
    <t>P1, P2, P3…P9</t>
  </si>
  <si>
    <t>Se generó una hoja para cada uno de los 9 programas que conforman el portafolio, representados por el código asignado a cada programa en el portafolio de programas y proyectos.</t>
  </si>
  <si>
    <t>Nombre del proyecto correspondientes, se vincula de los nombres de los -27 proyectos dispuestos en la hoja "Estimación de Costos Anualizada"</t>
  </si>
  <si>
    <t xml:space="preserve">La nomenclatura empleada para los programas corresponde del Programa 1 al Programa 9 y para los proyectos se emplea el número del programa seguido del número en el orden consecutivo del proyecto dentro de cada programa (1, 2, 3…9). En este sentido se creará una hoja para cada programa, y en cada una de ellas se costearán los proyectos que lo conforman. </t>
  </si>
  <si>
    <t>GLOSARIO DE CATEGORIA DE COSTOS CADENA DE MAIZ</t>
  </si>
  <si>
    <t>5. Fortalecimiento de la gestión ambiental en la cadena maicera.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</si>
</sst>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 numFmtId="167" formatCode="_-* #,##0.0_-;\-* #,##0.0_-;_-* &quot;-&quot;??_-;_-@_-"/>
    <numFmt numFmtId="168" formatCode="_-* #,##0.0_-;\-* #,##0.0_-;_-* &quot;-&quot;_-;_-@_-"/>
    <numFmt numFmtId="169" formatCode="[$USD]\ #,##0"/>
  </numFmts>
  <fonts count="4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2"/>
      <color theme="1"/>
      <name val="Arial"/>
      <family val="2"/>
    </font>
    <font>
      <sz val="11"/>
      <color theme="8" tint="0.39997558519241921"/>
      <name val="Arial"/>
      <family val="2"/>
    </font>
    <font>
      <sz val="12"/>
      <color theme="1"/>
      <name val="Calibri"/>
      <family val="2"/>
      <scheme val="minor"/>
    </font>
    <font>
      <b/>
      <sz val="11"/>
      <color indexed="8"/>
      <name val="Arial"/>
      <family val="2"/>
    </font>
    <font>
      <sz val="11"/>
      <color theme="6" tint="-0.249977111117893"/>
      <name val="Arial"/>
      <family val="2"/>
    </font>
    <font>
      <u/>
      <sz val="11"/>
      <color theme="10"/>
      <name val="Calibri"/>
      <family val="2"/>
      <scheme val="minor"/>
    </font>
    <font>
      <b/>
      <sz val="11"/>
      <name val="Arial"/>
      <family val="2"/>
    </font>
    <font>
      <sz val="11"/>
      <color rgb="FFFF0000"/>
      <name val="Arial"/>
      <family val="2"/>
    </font>
    <font>
      <sz val="10"/>
      <name val="Arial"/>
      <family val="2"/>
    </font>
    <font>
      <sz val="11"/>
      <color theme="4"/>
      <name val="Arial"/>
      <family val="2"/>
    </font>
    <font>
      <sz val="12"/>
      <color rgb="FFFF0000"/>
      <name val="Arial"/>
      <family val="2"/>
    </font>
    <font>
      <b/>
      <sz val="11"/>
      <color rgb="FF000000"/>
      <name val="Arial"/>
      <family val="2"/>
    </font>
    <font>
      <b/>
      <sz val="11"/>
      <color theme="1" tint="0.14999847407452621"/>
      <name val="Arial"/>
      <family val="2"/>
    </font>
    <font>
      <sz val="11"/>
      <color theme="5"/>
      <name val="Arial"/>
      <family val="2"/>
    </font>
    <font>
      <sz val="10"/>
      <color theme="1"/>
      <name val="Arial"/>
      <family val="2"/>
    </font>
    <font>
      <b/>
      <sz val="12"/>
      <color theme="0"/>
      <name val="Arial Black"/>
      <family val="2"/>
    </font>
    <font>
      <sz val="10"/>
      <color theme="1" tint="0.14999847407452621"/>
      <name val="Arial"/>
      <family val="2"/>
    </font>
    <font>
      <sz val="11"/>
      <color theme="1" tint="0.14999847407452621"/>
      <name val="Arial"/>
      <family val="2"/>
    </font>
    <font>
      <b/>
      <sz val="12"/>
      <color theme="1"/>
      <name val="Arial"/>
      <family val="2"/>
    </font>
    <font>
      <b/>
      <sz val="12"/>
      <name val="Arial"/>
      <family val="2"/>
    </font>
    <font>
      <b/>
      <sz val="11"/>
      <color theme="1" tint="0.249977111117893"/>
      <name val="Arial"/>
      <family val="2"/>
    </font>
    <font>
      <sz val="11"/>
      <color theme="1" tint="0.249977111117893"/>
      <name val="Arial"/>
      <family val="2"/>
    </font>
    <font>
      <sz val="8"/>
      <name val="Calibri"/>
      <family val="2"/>
      <scheme val="minor"/>
    </font>
    <font>
      <b/>
      <sz val="14"/>
      <color theme="1"/>
      <name val="Arial"/>
      <family val="2"/>
    </font>
    <font>
      <b/>
      <sz val="14"/>
      <color theme="1"/>
      <name val="Calibri"/>
      <family val="2"/>
      <scheme val="minor"/>
    </font>
    <font>
      <sz val="9"/>
      <name val="Arial"/>
      <family val="2"/>
    </font>
    <font>
      <strike/>
      <sz val="12"/>
      <color theme="1"/>
      <name val="Arial"/>
      <family val="2"/>
    </font>
    <font>
      <b/>
      <sz val="11"/>
      <color theme="1"/>
      <name val="Calibri"/>
      <family val="2"/>
      <scheme val="minor"/>
    </font>
    <font>
      <sz val="8"/>
      <name val="Arial"/>
      <family val="2"/>
    </font>
    <font>
      <b/>
      <sz val="11"/>
      <color rgb="FF333333"/>
      <name val="Arial"/>
      <family val="2"/>
    </font>
    <font>
      <sz val="11"/>
      <color rgb="FF333333"/>
      <name val="Arial"/>
      <family val="2"/>
    </font>
    <font>
      <u/>
      <sz val="11"/>
      <color theme="10"/>
      <name val="Arial"/>
      <family val="2"/>
    </font>
    <font>
      <sz val="8"/>
      <color theme="1"/>
      <name val="Arial"/>
      <family val="2"/>
    </font>
    <font>
      <sz val="11"/>
      <color rgb="FF000000"/>
      <name val="Arial"/>
      <family val="2"/>
    </font>
    <font>
      <b/>
      <sz val="11"/>
      <color rgb="FF0070C0"/>
      <name val="Arial"/>
      <family val="2"/>
    </font>
    <font>
      <sz val="11"/>
      <color rgb="FFFF0000"/>
      <name val="Calibri"/>
      <family val="2"/>
      <scheme val="minor"/>
    </font>
    <font>
      <sz val="11"/>
      <name val="Calibri"/>
      <family val="2"/>
      <scheme val="minor"/>
    </font>
    <font>
      <b/>
      <sz val="14"/>
      <name val="Arial"/>
      <family val="2"/>
    </font>
    <font>
      <sz val="14"/>
      <color theme="1"/>
      <name val="Arial"/>
      <family val="2"/>
    </font>
    <font>
      <b/>
      <sz val="11"/>
      <color theme="0"/>
      <name val="Arial"/>
      <family val="2"/>
    </font>
    <font>
      <b/>
      <sz val="11"/>
      <color theme="0"/>
      <name val="Arial Black"/>
      <family val="2"/>
    </font>
  </fonts>
  <fills count="2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99CCFF"/>
        <bgColor indexed="64"/>
      </patternFill>
    </fill>
    <fill>
      <patternFill patternType="solid">
        <fgColor theme="5" tint="0.59999389629810485"/>
        <bgColor indexed="64"/>
      </patternFill>
    </fill>
    <fill>
      <patternFill patternType="solid">
        <fgColor theme="4" tint="-0.49998474074526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02">
    <xf numFmtId="0" fontId="0" fillId="0" borderId="0"/>
    <xf numFmtId="44" fontId="1" fillId="0" borderId="0" applyFont="0" applyFill="0" applyBorder="0" applyAlignment="0" applyProtection="0"/>
    <xf numFmtId="0" fontId="1" fillId="0" borderId="0"/>
    <xf numFmtId="0" fontId="7" fillId="0" borderId="0"/>
    <xf numFmtId="0" fontId="1" fillId="0" borderId="0"/>
    <xf numFmtId="43"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 fillId="0" borderId="0"/>
    <xf numFmtId="9" fontId="7" fillId="0" borderId="0" applyFont="0" applyFill="0" applyBorder="0" applyAlignment="0" applyProtection="0"/>
    <xf numFmtId="0" fontId="1" fillId="0" borderId="0"/>
    <xf numFmtId="43" fontId="7" fillId="0" borderId="0" applyFont="0" applyFill="0" applyBorder="0" applyAlignment="0" applyProtection="0"/>
    <xf numFmtId="41"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0" fontId="1" fillId="0" borderId="0"/>
    <xf numFmtId="0" fontId="7" fillId="0" borderId="0"/>
    <xf numFmtId="0" fontId="13"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83">
    <xf numFmtId="0" fontId="0" fillId="0" borderId="0" xfId="0"/>
    <xf numFmtId="0" fontId="2" fillId="2" borderId="0" xfId="2" applyFont="1" applyFill="1"/>
    <xf numFmtId="0" fontId="2" fillId="2" borderId="0" xfId="2" applyFont="1" applyFill="1" applyAlignment="1">
      <alignment wrapText="1"/>
    </xf>
    <xf numFmtId="0" fontId="3" fillId="2" borderId="0" xfId="2" applyFont="1" applyFill="1"/>
    <xf numFmtId="0" fontId="2" fillId="2" borderId="0" xfId="2" applyFont="1" applyFill="1" applyAlignment="1">
      <alignment horizontal="left" wrapText="1"/>
    </xf>
    <xf numFmtId="0" fontId="2" fillId="2" borderId="0" xfId="2" applyFont="1" applyFill="1" applyAlignment="1">
      <alignment horizontal="left"/>
    </xf>
    <xf numFmtId="0" fontId="2" fillId="0" borderId="0" xfId="2" applyFont="1" applyAlignment="1">
      <alignment horizontal="left" vertical="center" wrapText="1"/>
    </xf>
    <xf numFmtId="0" fontId="2" fillId="2" borderId="0" xfId="2" applyFont="1" applyFill="1" applyAlignment="1">
      <alignment horizontal="left" vertical="center" wrapText="1"/>
    </xf>
    <xf numFmtId="0" fontId="2" fillId="2" borderId="0" xfId="2" applyFont="1" applyFill="1" applyAlignment="1">
      <alignment horizontal="left" vertical="center"/>
    </xf>
    <xf numFmtId="0" fontId="2" fillId="0" borderId="0" xfId="2" applyFont="1" applyAlignment="1">
      <alignment horizontal="justify" vertical="center" wrapText="1"/>
    </xf>
    <xf numFmtId="0" fontId="3" fillId="0" borderId="8" xfId="2" applyFont="1" applyBorder="1" applyAlignment="1">
      <alignment horizontal="center" vertical="center"/>
    </xf>
    <xf numFmtId="0" fontId="3" fillId="0" borderId="11" xfId="2" applyFont="1" applyBorder="1" applyAlignment="1">
      <alignment horizontal="center" vertical="center" wrapText="1"/>
    </xf>
    <xf numFmtId="0" fontId="4" fillId="0" borderId="8" xfId="2" applyFont="1" applyBorder="1" applyAlignment="1">
      <alignment horizontal="justify" vertical="center" wrapText="1"/>
    </xf>
    <xf numFmtId="0" fontId="3" fillId="0" borderId="8" xfId="2" applyFont="1" applyBorder="1" applyAlignment="1">
      <alignment horizontal="center" vertical="center" wrapText="1"/>
    </xf>
    <xf numFmtId="0" fontId="2" fillId="0" borderId="8" xfId="2" applyFont="1" applyBorder="1" applyAlignment="1">
      <alignment horizontal="justify" vertical="center" wrapText="1"/>
    </xf>
    <xf numFmtId="0" fontId="2" fillId="2" borderId="0" xfId="2" applyFont="1" applyFill="1" applyAlignment="1">
      <alignment vertical="center"/>
    </xf>
    <xf numFmtId="0" fontId="3" fillId="0" borderId="8" xfId="2" applyFont="1" applyBorder="1" applyAlignment="1">
      <alignment horizontal="center"/>
    </xf>
    <xf numFmtId="0" fontId="3" fillId="0" borderId="8" xfId="2" applyFont="1" applyBorder="1" applyAlignment="1">
      <alignment horizontal="left" vertical="center" wrapText="1"/>
    </xf>
    <xf numFmtId="0" fontId="2" fillId="0" borderId="8" xfId="2" applyFont="1" applyBorder="1" applyAlignment="1">
      <alignment vertical="center" wrapText="1"/>
    </xf>
    <xf numFmtId="0" fontId="3" fillId="0" borderId="11" xfId="2" applyFont="1" applyBorder="1" applyAlignment="1">
      <alignment horizontal="center" vertical="center"/>
    </xf>
    <xf numFmtId="0" fontId="2" fillId="0" borderId="8" xfId="2" applyFont="1" applyBorder="1" applyAlignment="1">
      <alignment horizontal="left" vertical="center" wrapText="1"/>
    </xf>
    <xf numFmtId="0" fontId="3" fillId="2" borderId="8" xfId="2" applyFont="1" applyFill="1" applyBorder="1" applyAlignment="1">
      <alignment horizontal="center" vertical="center" wrapText="1"/>
    </xf>
    <xf numFmtId="0" fontId="2" fillId="2" borderId="8" xfId="2" applyFont="1" applyFill="1" applyBorder="1" applyAlignment="1">
      <alignment vertical="center" wrapText="1"/>
    </xf>
    <xf numFmtId="0" fontId="3" fillId="2" borderId="8" xfId="2" applyFont="1" applyFill="1" applyBorder="1" applyAlignment="1">
      <alignment horizontal="center" vertical="center"/>
    </xf>
    <xf numFmtId="0" fontId="2" fillId="2" borderId="8" xfId="2" applyFont="1" applyFill="1" applyBorder="1" applyAlignment="1">
      <alignment horizontal="justify" vertical="center" wrapText="1"/>
    </xf>
    <xf numFmtId="0" fontId="2" fillId="0" borderId="0" xfId="3" applyFont="1"/>
    <xf numFmtId="0" fontId="2" fillId="0" borderId="0" xfId="2" applyFont="1"/>
    <xf numFmtId="0" fontId="2" fillId="0" borderId="0" xfId="3" applyFont="1" applyAlignment="1">
      <alignment horizontal="center"/>
    </xf>
    <xf numFmtId="0" fontId="2" fillId="0" borderId="0" xfId="2" applyFont="1" applyAlignment="1">
      <alignment horizontal="center" vertical="center" wrapText="1"/>
    </xf>
    <xf numFmtId="0" fontId="2" fillId="2" borderId="0" xfId="3" applyFont="1" applyFill="1"/>
    <xf numFmtId="0" fontId="2" fillId="2" borderId="0" xfId="3" applyFont="1" applyFill="1" applyAlignment="1">
      <alignment horizontal="center"/>
    </xf>
    <xf numFmtId="0" fontId="3" fillId="0" borderId="0" xfId="3" applyFont="1" applyAlignment="1">
      <alignment horizontal="center" vertical="center" wrapText="1"/>
    </xf>
    <xf numFmtId="10" fontId="9" fillId="0" borderId="0" xfId="2" applyNumberFormat="1" applyFont="1" applyAlignment="1">
      <alignment horizontal="center"/>
    </xf>
    <xf numFmtId="0" fontId="2" fillId="0" borderId="17" xfId="3" applyFont="1" applyBorder="1"/>
    <xf numFmtId="0" fontId="2" fillId="0" borderId="0" xfId="3" applyFont="1" applyAlignment="1">
      <alignment vertical="top" wrapText="1"/>
    </xf>
    <xf numFmtId="0" fontId="2" fillId="0" borderId="0" xfId="2" applyFont="1" applyAlignment="1">
      <alignment wrapText="1"/>
    </xf>
    <xf numFmtId="0" fontId="2" fillId="0" borderId="0" xfId="2" applyFont="1" applyAlignment="1">
      <alignment horizontal="justify" vertical="center"/>
    </xf>
    <xf numFmtId="0" fontId="2" fillId="0" borderId="0" xfId="4" applyFont="1"/>
    <xf numFmtId="0" fontId="2" fillId="2" borderId="0" xfId="4" applyFont="1" applyFill="1"/>
    <xf numFmtId="0" fontId="2" fillId="0" borderId="8" xfId="4" applyFont="1" applyBorder="1"/>
    <xf numFmtId="0" fontId="2" fillId="0" borderId="0" xfId="4" applyFont="1" applyAlignment="1">
      <alignment horizontal="center"/>
    </xf>
    <xf numFmtId="0" fontId="4" fillId="0" borderId="8" xfId="4" applyFont="1" applyBorder="1"/>
    <xf numFmtId="0" fontId="2" fillId="0" borderId="0" xfId="4" applyFont="1" applyAlignment="1">
      <alignment wrapText="1"/>
    </xf>
    <xf numFmtId="164" fontId="4" fillId="0" borderId="8" xfId="4" applyNumberFormat="1" applyFont="1" applyBorder="1"/>
    <xf numFmtId="164" fontId="2" fillId="0" borderId="0" xfId="8" applyNumberFormat="1" applyFont="1"/>
    <xf numFmtId="164" fontId="2" fillId="0" borderId="8" xfId="8" applyNumberFormat="1" applyFont="1" applyBorder="1"/>
    <xf numFmtId="0" fontId="4" fillId="2" borderId="8" xfId="4" applyFont="1" applyFill="1" applyBorder="1"/>
    <xf numFmtId="0" fontId="2" fillId="0" borderId="8" xfId="4" applyFont="1" applyBorder="1" applyAlignment="1">
      <alignment horizontal="left"/>
    </xf>
    <xf numFmtId="0" fontId="2" fillId="2" borderId="8" xfId="4" applyFont="1" applyFill="1" applyBorder="1"/>
    <xf numFmtId="0" fontId="3" fillId="2" borderId="0" xfId="4" applyFont="1" applyFill="1"/>
    <xf numFmtId="164" fontId="2" fillId="0" borderId="8" xfId="9" applyNumberFormat="1" applyFont="1" applyBorder="1"/>
    <xf numFmtId="41" fontId="2" fillId="0" borderId="8" xfId="15" applyFont="1" applyBorder="1"/>
    <xf numFmtId="164" fontId="2" fillId="0" borderId="0" xfId="18" applyNumberFormat="1" applyFont="1"/>
    <xf numFmtId="164" fontId="2" fillId="0" borderId="8" xfId="18" applyNumberFormat="1" applyFont="1" applyBorder="1"/>
    <xf numFmtId="164" fontId="4" fillId="0" borderId="8" xfId="18" applyNumberFormat="1" applyFont="1" applyBorder="1"/>
    <xf numFmtId="0" fontId="2" fillId="0" borderId="0" xfId="3" applyFont="1" applyAlignment="1">
      <alignment wrapText="1"/>
    </xf>
    <xf numFmtId="0" fontId="2" fillId="0" borderId="8" xfId="4" applyFont="1" applyBorder="1" applyAlignment="1">
      <alignment wrapText="1"/>
    </xf>
    <xf numFmtId="0" fontId="3" fillId="0" borderId="0" xfId="4" applyFont="1"/>
    <xf numFmtId="0" fontId="16" fillId="0" borderId="0" xfId="4" applyFont="1"/>
    <xf numFmtId="0" fontId="16" fillId="6" borderId="0" xfId="4" applyFont="1" applyFill="1"/>
    <xf numFmtId="0" fontId="2" fillId="6" borderId="0" xfId="4" applyFont="1" applyFill="1"/>
    <xf numFmtId="0" fontId="2" fillId="7" borderId="0" xfId="4" applyFont="1" applyFill="1"/>
    <xf numFmtId="0" fontId="3" fillId="0" borderId="8" xfId="4" applyFont="1" applyBorder="1" applyAlignment="1">
      <alignment horizontal="center"/>
    </xf>
    <xf numFmtId="0" fontId="3" fillId="8" borderId="8" xfId="4" applyFont="1" applyFill="1" applyBorder="1" applyAlignment="1">
      <alignment horizontal="center"/>
    </xf>
    <xf numFmtId="0" fontId="17" fillId="8" borderId="8" xfId="4" applyFont="1" applyFill="1" applyBorder="1" applyAlignment="1">
      <alignment horizontal="center" vertical="center"/>
    </xf>
    <xf numFmtId="3" fontId="3" fillId="8" borderId="8" xfId="4" applyNumberFormat="1" applyFont="1" applyFill="1" applyBorder="1" applyAlignment="1">
      <alignment horizontal="center"/>
    </xf>
    <xf numFmtId="3" fontId="2" fillId="0" borderId="0" xfId="4" applyNumberFormat="1" applyFont="1" applyAlignment="1">
      <alignment horizontal="center"/>
    </xf>
    <xf numFmtId="0" fontId="4" fillId="2" borderId="0" xfId="4" applyFont="1" applyFill="1"/>
    <xf numFmtId="0" fontId="4" fillId="2" borderId="8" xfId="4" applyFont="1" applyFill="1" applyBorder="1" applyAlignment="1">
      <alignment horizontal="justify" vertical="center" wrapText="1"/>
    </xf>
    <xf numFmtId="165" fontId="4" fillId="2" borderId="8" xfId="7" applyNumberFormat="1" applyFont="1" applyFill="1" applyBorder="1" applyAlignment="1">
      <alignment horizontal="right" vertical="center"/>
    </xf>
    <xf numFmtId="0" fontId="4" fillId="2" borderId="0" xfId="4" applyFont="1" applyFill="1" applyAlignment="1">
      <alignment horizontal="center" vertical="center"/>
    </xf>
    <xf numFmtId="165" fontId="3" fillId="8" borderId="8" xfId="10" applyNumberFormat="1" applyFont="1" applyFill="1" applyBorder="1" applyAlignment="1">
      <alignment horizontal="center"/>
    </xf>
    <xf numFmtId="0" fontId="3" fillId="2" borderId="0" xfId="4" applyFont="1" applyFill="1" applyAlignment="1">
      <alignment horizontal="center"/>
    </xf>
    <xf numFmtId="165" fontId="3" fillId="2" borderId="0" xfId="10" applyNumberFormat="1" applyFont="1" applyFill="1" applyBorder="1" applyAlignment="1">
      <alignment horizontal="center"/>
    </xf>
    <xf numFmtId="165" fontId="14" fillId="2" borderId="0" xfId="10" applyNumberFormat="1" applyFont="1" applyFill="1" applyBorder="1" applyAlignment="1">
      <alignment horizontal="center"/>
    </xf>
    <xf numFmtId="0" fontId="2" fillId="2" borderId="0" xfId="4" applyFont="1" applyFill="1" applyAlignment="1">
      <alignment horizontal="center"/>
    </xf>
    <xf numFmtId="0" fontId="3" fillId="2" borderId="0" xfId="4" applyFont="1" applyFill="1" applyAlignment="1">
      <alignment horizontal="left" wrapText="1"/>
    </xf>
    <xf numFmtId="3" fontId="2" fillId="2" borderId="0" xfId="4" applyNumberFormat="1" applyFont="1" applyFill="1"/>
    <xf numFmtId="0" fontId="3" fillId="9" borderId="8" xfId="4" applyFont="1" applyFill="1" applyBorder="1" applyAlignment="1">
      <alignment horizontal="center"/>
    </xf>
    <xf numFmtId="164" fontId="3" fillId="9" borderId="8" xfId="9" applyNumberFormat="1" applyFont="1" applyFill="1" applyBorder="1" applyAlignment="1">
      <alignment horizontal="center"/>
    </xf>
    <xf numFmtId="165" fontId="2" fillId="0" borderId="0" xfId="4" applyNumberFormat="1" applyFont="1"/>
    <xf numFmtId="164" fontId="4" fillId="0" borderId="8" xfId="8" applyNumberFormat="1" applyFont="1" applyBorder="1"/>
    <xf numFmtId="3" fontId="2" fillId="0" borderId="8" xfId="4" applyNumberFormat="1" applyFont="1" applyBorder="1"/>
    <xf numFmtId="164" fontId="2" fillId="2" borderId="0" xfId="8" applyNumberFormat="1" applyFont="1" applyFill="1"/>
    <xf numFmtId="164" fontId="14" fillId="2" borderId="0" xfId="8" applyNumberFormat="1" applyFont="1" applyFill="1"/>
    <xf numFmtId="0" fontId="3" fillId="9" borderId="8" xfId="4" applyFont="1" applyFill="1" applyBorder="1" applyAlignment="1">
      <alignment horizontal="left"/>
    </xf>
    <xf numFmtId="0" fontId="2" fillId="9" borderId="8" xfId="4" applyFont="1" applyFill="1" applyBorder="1"/>
    <xf numFmtId="3" fontId="2" fillId="9" borderId="8" xfId="4" applyNumberFormat="1" applyFont="1" applyFill="1" applyBorder="1"/>
    <xf numFmtId="165" fontId="3" fillId="9" borderId="9" xfId="10" applyNumberFormat="1" applyFont="1" applyFill="1" applyBorder="1" applyAlignment="1">
      <alignment horizontal="center"/>
    </xf>
    <xf numFmtId="0" fontId="2" fillId="0" borderId="12" xfId="3" applyFont="1" applyBorder="1" applyAlignment="1">
      <alignment wrapText="1"/>
    </xf>
    <xf numFmtId="164" fontId="3" fillId="0" borderId="0" xfId="9" applyNumberFormat="1" applyFont="1" applyBorder="1"/>
    <xf numFmtId="0" fontId="18" fillId="2" borderId="0" xfId="4" applyFont="1" applyFill="1"/>
    <xf numFmtId="0" fontId="18" fillId="0" borderId="0" xfId="4" applyFont="1"/>
    <xf numFmtId="9" fontId="2" fillId="2" borderId="8" xfId="28" applyFont="1" applyFill="1" applyBorder="1"/>
    <xf numFmtId="3" fontId="4" fillId="0" borderId="8" xfId="4" applyNumberFormat="1" applyFont="1" applyBorder="1"/>
    <xf numFmtId="0" fontId="2" fillId="2" borderId="8" xfId="4" applyFont="1" applyFill="1" applyBorder="1" applyAlignment="1">
      <alignment wrapText="1"/>
    </xf>
    <xf numFmtId="9" fontId="2" fillId="2" borderId="8" xfId="4" applyNumberFormat="1" applyFont="1" applyFill="1" applyBorder="1"/>
    <xf numFmtId="9" fontId="2" fillId="0" borderId="8" xfId="4" applyNumberFormat="1" applyFont="1" applyBorder="1"/>
    <xf numFmtId="165" fontId="3" fillId="9" borderId="8" xfId="7" applyNumberFormat="1" applyFont="1" applyFill="1" applyBorder="1" applyAlignment="1">
      <alignment horizontal="center"/>
    </xf>
    <xf numFmtId="0" fontId="4" fillId="2" borderId="0" xfId="4" applyFont="1" applyFill="1" applyAlignment="1">
      <alignment horizontal="justify" wrapText="1"/>
    </xf>
    <xf numFmtId="164" fontId="19" fillId="0" borderId="0" xfId="8" applyNumberFormat="1" applyFont="1" applyAlignment="1">
      <alignment horizontal="justify" wrapText="1"/>
    </xf>
    <xf numFmtId="0" fontId="2" fillId="0" borderId="0" xfId="4" applyFont="1"/>
    <xf numFmtId="0" fontId="2" fillId="2" borderId="0" xfId="4" applyFont="1" applyFill="1"/>
    <xf numFmtId="0" fontId="2" fillId="0" borderId="8" xfId="4" applyFont="1" applyBorder="1"/>
    <xf numFmtId="0" fontId="4" fillId="0" borderId="8" xfId="4" applyFont="1" applyBorder="1"/>
    <xf numFmtId="0" fontId="2" fillId="0" borderId="0" xfId="4" applyFont="1" applyAlignment="1">
      <alignment vertical="center"/>
    </xf>
    <xf numFmtId="0" fontId="2" fillId="0" borderId="0" xfId="4" applyFont="1" applyBorder="1"/>
    <xf numFmtId="0" fontId="4" fillId="0" borderId="8" xfId="4" applyFont="1" applyBorder="1" applyAlignment="1">
      <alignment horizontal="center"/>
    </xf>
    <xf numFmtId="3" fontId="2" fillId="0" borderId="8" xfId="4" applyNumberFormat="1" applyFont="1" applyBorder="1"/>
    <xf numFmtId="0" fontId="2" fillId="0" borderId="0" xfId="3" applyFont="1" applyAlignment="1">
      <alignment wrapText="1"/>
    </xf>
    <xf numFmtId="0" fontId="3" fillId="2" borderId="0" xfId="4" applyFont="1" applyFill="1" applyAlignment="1">
      <alignment horizontal="left" wrapText="1"/>
    </xf>
    <xf numFmtId="0" fontId="2" fillId="0" borderId="0" xfId="3" applyFont="1" applyAlignment="1">
      <alignment wrapText="1"/>
    </xf>
    <xf numFmtId="0" fontId="3" fillId="2" borderId="0" xfId="4" applyFont="1" applyFill="1" applyAlignment="1">
      <alignment horizontal="left" wrapText="1"/>
    </xf>
    <xf numFmtId="165" fontId="4" fillId="2" borderId="8" xfId="7" applyNumberFormat="1" applyFont="1" applyFill="1" applyBorder="1" applyAlignment="1">
      <alignment horizontal="center" vertical="center"/>
    </xf>
    <xf numFmtId="165" fontId="3" fillId="9" borderId="8" xfId="10" applyNumberFormat="1" applyFont="1" applyFill="1" applyBorder="1" applyAlignment="1">
      <alignment horizontal="center"/>
    </xf>
    <xf numFmtId="164" fontId="2" fillId="0" borderId="0" xfId="4" applyNumberFormat="1" applyFont="1"/>
    <xf numFmtId="164" fontId="2" fillId="0" borderId="12" xfId="18" applyNumberFormat="1" applyFont="1" applyBorder="1" applyAlignment="1">
      <alignment wrapText="1"/>
    </xf>
    <xf numFmtId="1" fontId="4" fillId="0" borderId="8" xfId="4" applyNumberFormat="1" applyFont="1" applyBorder="1"/>
    <xf numFmtId="41" fontId="4" fillId="0" borderId="8" xfId="4" applyNumberFormat="1" applyFont="1" applyBorder="1"/>
    <xf numFmtId="0" fontId="4" fillId="0" borderId="8" xfId="51" applyFont="1" applyBorder="1"/>
    <xf numFmtId="0" fontId="4" fillId="0" borderId="8" xfId="52" applyFont="1" applyBorder="1"/>
    <xf numFmtId="0" fontId="2" fillId="0" borderId="12" xfId="4" applyFont="1" applyBorder="1"/>
    <xf numFmtId="0" fontId="2" fillId="2" borderId="0" xfId="4" applyFont="1" applyFill="1" applyAlignment="1">
      <alignment wrapText="1"/>
    </xf>
    <xf numFmtId="0" fontId="2" fillId="0" borderId="8" xfId="51" applyFont="1" applyBorder="1"/>
    <xf numFmtId="0" fontId="2" fillId="2" borderId="8" xfId="51" applyFont="1" applyFill="1" applyBorder="1" applyAlignment="1">
      <alignment wrapText="1"/>
    </xf>
    <xf numFmtId="0" fontId="2" fillId="2" borderId="8" xfId="51" applyFont="1" applyFill="1" applyBorder="1"/>
    <xf numFmtId="3" fontId="2" fillId="2" borderId="8" xfId="51" applyNumberFormat="1" applyFont="1" applyFill="1" applyBorder="1"/>
    <xf numFmtId="9" fontId="2" fillId="0" borderId="8" xfId="51" applyNumberFormat="1" applyFont="1" applyBorder="1"/>
    <xf numFmtId="164" fontId="2" fillId="0" borderId="8" xfId="51" applyNumberFormat="1" applyFont="1" applyBorder="1"/>
    <xf numFmtId="0" fontId="2" fillId="0" borderId="8" xfId="53" applyFont="1" applyBorder="1"/>
    <xf numFmtId="0" fontId="13" fillId="2" borderId="0" xfId="4" applyFont="1" applyFill="1" applyAlignment="1">
      <alignment horizontal="justify" vertical="top"/>
    </xf>
    <xf numFmtId="0" fontId="13" fillId="2" borderId="12" xfId="4" applyFont="1" applyFill="1" applyBorder="1" applyAlignment="1">
      <alignment horizontal="justify" vertical="top" wrapText="1"/>
    </xf>
    <xf numFmtId="44" fontId="2" fillId="0" borderId="8" xfId="1" applyFont="1" applyBorder="1"/>
    <xf numFmtId="0" fontId="21" fillId="2" borderId="26" xfId="0" applyFont="1" applyFill="1" applyBorder="1" applyAlignment="1">
      <alignment horizontal="center" vertical="center"/>
    </xf>
    <xf numFmtId="0" fontId="2" fillId="0" borderId="0" xfId="3" applyFont="1" applyBorder="1" applyAlignment="1">
      <alignment wrapText="1"/>
    </xf>
    <xf numFmtId="0" fontId="2" fillId="2" borderId="0" xfId="4" applyFont="1" applyFill="1" applyBorder="1"/>
    <xf numFmtId="164" fontId="2" fillId="2" borderId="8" xfId="18" applyNumberFormat="1" applyFont="1" applyFill="1" applyBorder="1"/>
    <xf numFmtId="164" fontId="2" fillId="2" borderId="0" xfId="18" applyNumberFormat="1" applyFont="1" applyFill="1"/>
    <xf numFmtId="3" fontId="3" fillId="9" borderId="8" xfId="4" applyNumberFormat="1" applyFont="1" applyFill="1" applyBorder="1"/>
    <xf numFmtId="164" fontId="4" fillId="0" borderId="8" xfId="8" applyNumberFormat="1" applyFont="1" applyBorder="1" applyAlignment="1">
      <alignment horizontal="right"/>
    </xf>
    <xf numFmtId="165" fontId="2" fillId="0" borderId="0" xfId="1" applyNumberFormat="1" applyFont="1" applyBorder="1" applyAlignment="1">
      <alignment wrapText="1"/>
    </xf>
    <xf numFmtId="0" fontId="3" fillId="11" borderId="8" xfId="4" applyFont="1" applyFill="1" applyBorder="1" applyAlignment="1">
      <alignment horizontal="left"/>
    </xf>
    <xf numFmtId="0" fontId="2" fillId="12" borderId="8" xfId="4" applyFont="1" applyFill="1" applyBorder="1"/>
    <xf numFmtId="0" fontId="4" fillId="2" borderId="8" xfId="4" applyFont="1" applyFill="1" applyBorder="1" applyAlignment="1">
      <alignment horizontal="center" vertical="center" wrapText="1"/>
    </xf>
    <xf numFmtId="164" fontId="4" fillId="2" borderId="8" xfId="4" applyNumberFormat="1" applyFont="1" applyFill="1" applyBorder="1" applyAlignment="1">
      <alignment horizontal="center" vertical="center"/>
    </xf>
    <xf numFmtId="165" fontId="4" fillId="2" borderId="8" xfId="7" applyNumberFormat="1" applyFont="1" applyFill="1" applyBorder="1" applyAlignment="1">
      <alignment vertical="center"/>
    </xf>
    <xf numFmtId="164" fontId="4" fillId="0" borderId="8" xfId="8" applyNumberFormat="1" applyFont="1" applyFill="1" applyBorder="1"/>
    <xf numFmtId="9" fontId="2" fillId="2" borderId="0" xfId="54" applyFont="1" applyFill="1"/>
    <xf numFmtId="3" fontId="2" fillId="2" borderId="8" xfId="4" applyNumberFormat="1" applyFont="1" applyFill="1" applyBorder="1"/>
    <xf numFmtId="164" fontId="4" fillId="2" borderId="8" xfId="8" applyNumberFormat="1" applyFont="1" applyFill="1" applyBorder="1"/>
    <xf numFmtId="0" fontId="2" fillId="11" borderId="0" xfId="3" applyFont="1" applyFill="1" applyAlignment="1">
      <alignment wrapText="1"/>
    </xf>
    <xf numFmtId="0" fontId="2" fillId="11" borderId="0" xfId="4" applyFont="1" applyFill="1"/>
    <xf numFmtId="165" fontId="3" fillId="11" borderId="8" xfId="7" applyNumberFormat="1" applyFont="1" applyFill="1" applyBorder="1" applyAlignment="1">
      <alignment horizontal="center"/>
    </xf>
    <xf numFmtId="3" fontId="2" fillId="0" borderId="0" xfId="4" applyNumberFormat="1" applyFont="1"/>
    <xf numFmtId="41" fontId="2" fillId="0" borderId="0" xfId="55" applyFont="1"/>
    <xf numFmtId="0" fontId="2" fillId="2" borderId="8" xfId="53" applyFont="1" applyFill="1" applyBorder="1" applyAlignment="1">
      <alignment horizontal="left"/>
    </xf>
    <xf numFmtId="0" fontId="22" fillId="2" borderId="8" xfId="57" applyFont="1" applyFill="1" applyBorder="1" applyAlignment="1">
      <alignment vertical="center"/>
    </xf>
    <xf numFmtId="0" fontId="4" fillId="0" borderId="0" xfId="3" applyFont="1" applyBorder="1" applyAlignment="1">
      <alignment horizontal="justify" vertical="top" wrapText="1"/>
    </xf>
    <xf numFmtId="164" fontId="3" fillId="5" borderId="8" xfId="18" applyNumberFormat="1" applyFont="1" applyFill="1" applyBorder="1" applyAlignment="1">
      <alignment vertical="center" wrapText="1"/>
    </xf>
    <xf numFmtId="164" fontId="25" fillId="9" borderId="8" xfId="18" applyNumberFormat="1" applyFont="1" applyFill="1" applyBorder="1" applyAlignment="1">
      <alignment vertical="center" wrapText="1"/>
    </xf>
    <xf numFmtId="164" fontId="2" fillId="0" borderId="0" xfId="18" applyNumberFormat="1" applyFont="1" applyBorder="1"/>
    <xf numFmtId="164" fontId="24" fillId="13" borderId="8" xfId="18" applyNumberFormat="1" applyFont="1" applyFill="1" applyBorder="1" applyAlignment="1">
      <alignment vertical="center" wrapText="1"/>
    </xf>
    <xf numFmtId="0" fontId="16" fillId="6" borderId="0" xfId="4" applyFont="1" applyFill="1" applyAlignment="1">
      <alignment vertical="center"/>
    </xf>
    <xf numFmtId="0" fontId="3" fillId="8" borderId="8" xfId="4" applyFont="1" applyFill="1" applyBorder="1" applyAlignment="1">
      <alignment horizontal="center" vertical="center"/>
    </xf>
    <xf numFmtId="165" fontId="3" fillId="8" borderId="8" xfId="1" applyNumberFormat="1" applyFont="1" applyFill="1" applyBorder="1" applyAlignment="1">
      <alignment horizontal="center" vertical="center"/>
    </xf>
    <xf numFmtId="3" fontId="2" fillId="0" borderId="0" xfId="4" applyNumberFormat="1" applyFont="1" applyAlignment="1">
      <alignment horizontal="center" vertical="center"/>
    </xf>
    <xf numFmtId="0" fontId="2" fillId="0" borderId="0" xfId="4" applyFont="1" applyAlignment="1">
      <alignment horizontal="center" vertical="center"/>
    </xf>
    <xf numFmtId="165" fontId="3" fillId="8" borderId="8" xfId="10" applyNumberFormat="1" applyFont="1" applyFill="1" applyBorder="1" applyAlignment="1">
      <alignment horizontal="center" vertical="center"/>
    </xf>
    <xf numFmtId="0" fontId="3" fillId="9" borderId="8" xfId="4" applyFont="1" applyFill="1" applyBorder="1" applyAlignment="1">
      <alignment horizontal="center" vertical="center"/>
    </xf>
    <xf numFmtId="164" fontId="3" fillId="9" borderId="8" xfId="9" applyNumberFormat="1" applyFont="1" applyFill="1" applyBorder="1" applyAlignment="1">
      <alignment horizontal="center" vertical="center"/>
    </xf>
    <xf numFmtId="165" fontId="2" fillId="0" borderId="0" xfId="4" applyNumberFormat="1" applyFont="1" applyAlignment="1">
      <alignment vertical="center"/>
    </xf>
    <xf numFmtId="0" fontId="22" fillId="0" borderId="8" xfId="13" applyFont="1" applyBorder="1" applyAlignment="1">
      <alignment vertical="center"/>
    </xf>
    <xf numFmtId="0" fontId="22" fillId="2" borderId="8" xfId="13" applyFont="1" applyFill="1" applyBorder="1" applyAlignment="1">
      <alignment vertical="center"/>
    </xf>
    <xf numFmtId="0" fontId="3" fillId="9" borderId="8" xfId="4" applyFont="1" applyFill="1" applyBorder="1" applyAlignment="1">
      <alignment horizontal="left" vertical="center"/>
    </xf>
    <xf numFmtId="0" fontId="2" fillId="9" borderId="8" xfId="4" applyFont="1" applyFill="1" applyBorder="1" applyAlignment="1">
      <alignment vertical="center"/>
    </xf>
    <xf numFmtId="3" fontId="2" fillId="9" borderId="8" xfId="4" applyNumberFormat="1" applyFont="1" applyFill="1" applyBorder="1" applyAlignment="1">
      <alignment vertical="center"/>
    </xf>
    <xf numFmtId="165" fontId="3" fillId="9" borderId="8" xfId="10" applyNumberFormat="1" applyFont="1" applyFill="1" applyBorder="1" applyAlignment="1">
      <alignment horizontal="center" vertical="center"/>
    </xf>
    <xf numFmtId="0" fontId="2" fillId="2" borderId="0" xfId="4" applyFont="1" applyFill="1" applyAlignment="1">
      <alignment vertical="center"/>
    </xf>
    <xf numFmtId="0" fontId="4" fillId="2" borderId="0" xfId="4" applyFont="1" applyFill="1" applyAlignment="1">
      <alignment horizontal="justify" vertical="center" wrapText="1"/>
    </xf>
    <xf numFmtId="164" fontId="2" fillId="0" borderId="8" xfId="18" applyNumberFormat="1" applyFont="1" applyBorder="1" applyAlignment="1">
      <alignment horizontal="right" vertical="center"/>
    </xf>
    <xf numFmtId="3" fontId="4" fillId="2" borderId="8" xfId="4" applyNumberFormat="1" applyFont="1" applyFill="1" applyBorder="1"/>
    <xf numFmtId="164" fontId="4" fillId="0" borderId="8" xfId="4" applyNumberFormat="1" applyFont="1" applyBorder="1" applyAlignment="1">
      <alignment vertical="center"/>
    </xf>
    <xf numFmtId="165" fontId="3" fillId="9" borderId="8" xfId="7" applyNumberFormat="1" applyFont="1" applyFill="1" applyBorder="1" applyAlignment="1">
      <alignment horizontal="center" vertical="center"/>
    </xf>
    <xf numFmtId="164" fontId="2" fillId="0" borderId="0" xfId="8" applyNumberFormat="1" applyFont="1" applyAlignment="1">
      <alignment vertical="center"/>
    </xf>
    <xf numFmtId="9" fontId="2" fillId="0" borderId="0" xfId="4" applyNumberFormat="1" applyFont="1"/>
    <xf numFmtId="164" fontId="2" fillId="0" borderId="0" xfId="18" applyNumberFormat="1" applyFont="1" applyAlignment="1">
      <alignment vertical="center"/>
    </xf>
    <xf numFmtId="9" fontId="2" fillId="0" borderId="0" xfId="54" applyFont="1" applyAlignment="1">
      <alignment vertical="center"/>
    </xf>
    <xf numFmtId="164" fontId="2" fillId="2" borderId="8" xfId="8" applyNumberFormat="1" applyFont="1" applyFill="1" applyBorder="1"/>
    <xf numFmtId="0" fontId="4" fillId="2" borderId="12" xfId="4" applyFont="1" applyFill="1" applyBorder="1" applyAlignment="1">
      <alignment horizontal="justify" vertical="center" wrapText="1"/>
    </xf>
    <xf numFmtId="165" fontId="4" fillId="2" borderId="8" xfId="1" applyNumberFormat="1" applyFont="1" applyFill="1" applyBorder="1" applyAlignment="1">
      <alignment horizontal="center" vertical="center"/>
    </xf>
    <xf numFmtId="0" fontId="22" fillId="2" borderId="8" xfId="57" applyFont="1" applyFill="1" applyBorder="1" applyAlignment="1">
      <alignment vertical="center" wrapText="1"/>
    </xf>
    <xf numFmtId="3" fontId="4" fillId="2" borderId="8" xfId="3" applyNumberFormat="1" applyFont="1" applyFill="1" applyBorder="1"/>
    <xf numFmtId="0" fontId="4" fillId="2" borderId="0" xfId="4" applyFont="1" applyFill="1" applyAlignment="1">
      <alignment horizontal="justify" vertical="center"/>
    </xf>
    <xf numFmtId="0" fontId="25" fillId="9" borderId="8" xfId="18" applyNumberFormat="1" applyFont="1" applyFill="1" applyBorder="1" applyAlignment="1">
      <alignment vertical="center" wrapText="1"/>
    </xf>
    <xf numFmtId="0" fontId="2" fillId="0" borderId="0" xfId="18" applyNumberFormat="1" applyFont="1"/>
    <xf numFmtId="0" fontId="26" fillId="2" borderId="8" xfId="18" applyNumberFormat="1" applyFont="1" applyFill="1" applyBorder="1" applyAlignment="1">
      <alignment vertical="center" wrapText="1"/>
    </xf>
    <xf numFmtId="0" fontId="26" fillId="2" borderId="8" xfId="18" applyNumberFormat="1" applyFont="1" applyFill="1" applyBorder="1" applyAlignment="1">
      <alignment vertical="justify" wrapText="1"/>
    </xf>
    <xf numFmtId="0" fontId="26" fillId="2" borderId="11" xfId="18" applyNumberFormat="1" applyFont="1" applyFill="1" applyBorder="1" applyAlignment="1">
      <alignment vertical="center" wrapText="1"/>
    </xf>
    <xf numFmtId="0" fontId="24" fillId="13" borderId="8" xfId="18" applyNumberFormat="1" applyFont="1" applyFill="1" applyBorder="1" applyAlignment="1">
      <alignment vertical="center" wrapText="1"/>
    </xf>
    <xf numFmtId="0" fontId="5" fillId="2" borderId="0" xfId="18" applyNumberFormat="1" applyFont="1" applyFill="1" applyBorder="1"/>
    <xf numFmtId="9" fontId="4" fillId="0" borderId="8" xfId="4" applyNumberFormat="1" applyFont="1" applyBorder="1"/>
    <xf numFmtId="0" fontId="13" fillId="2" borderId="0" xfId="4" applyFont="1" applyFill="1" applyBorder="1" applyAlignment="1">
      <alignment horizontal="justify" vertical="top" wrapText="1"/>
    </xf>
    <xf numFmtId="3" fontId="3" fillId="13" borderId="8" xfId="4" applyNumberFormat="1" applyFont="1" applyFill="1" applyBorder="1"/>
    <xf numFmtId="3" fontId="3" fillId="9" borderId="24" xfId="4" applyNumberFormat="1" applyFont="1" applyFill="1" applyBorder="1"/>
    <xf numFmtId="0" fontId="3" fillId="9" borderId="8" xfId="3" applyFont="1" applyFill="1" applyBorder="1" applyAlignment="1">
      <alignment horizontal="center" wrapText="1"/>
    </xf>
    <xf numFmtId="10" fontId="2" fillId="0" borderId="8" xfId="54" applyNumberFormat="1" applyFont="1" applyBorder="1"/>
    <xf numFmtId="0" fontId="4" fillId="0" borderId="0" xfId="3" applyFont="1" applyAlignment="1">
      <alignment horizontal="justify" vertical="top" wrapText="1"/>
    </xf>
    <xf numFmtId="0" fontId="4" fillId="2" borderId="0" xfId="4" applyFont="1" applyFill="1" applyAlignment="1">
      <alignment horizontal="justify" vertical="top" wrapText="1"/>
    </xf>
    <xf numFmtId="0" fontId="2" fillId="0" borderId="0" xfId="3" applyFont="1" applyAlignment="1">
      <alignment wrapText="1"/>
    </xf>
    <xf numFmtId="0" fontId="28" fillId="0" borderId="0" xfId="18" applyNumberFormat="1" applyFont="1" applyAlignment="1">
      <alignment horizontal="center" wrapText="1"/>
    </xf>
    <xf numFmtId="0" fontId="29" fillId="0" borderId="0" xfId="0" applyNumberFormat="1" applyFont="1" applyAlignment="1">
      <alignment horizontal="center" wrapText="1"/>
    </xf>
    <xf numFmtId="0" fontId="20" fillId="10" borderId="26" xfId="50" applyFont="1" applyFill="1" applyBorder="1" applyAlignment="1">
      <alignment horizontal="center" vertical="center" wrapText="1"/>
    </xf>
    <xf numFmtId="0" fontId="20" fillId="10" borderId="26" xfId="50" applyFont="1" applyFill="1" applyBorder="1" applyAlignment="1">
      <alignment horizontal="center" vertical="center"/>
    </xf>
    <xf numFmtId="0" fontId="5" fillId="2" borderId="0" xfId="50" applyFont="1" applyFill="1"/>
    <xf numFmtId="0" fontId="5" fillId="2" borderId="0" xfId="50" applyFont="1" applyFill="1" applyAlignment="1">
      <alignment horizontal="left"/>
    </xf>
    <xf numFmtId="0" fontId="11" fillId="0" borderId="0" xfId="4" applyFont="1"/>
    <xf numFmtId="0" fontId="4" fillId="0" borderId="0" xfId="4" applyFont="1"/>
    <xf numFmtId="0" fontId="11" fillId="2" borderId="0" xfId="4" applyFont="1" applyFill="1"/>
    <xf numFmtId="0" fontId="11" fillId="6" borderId="0" xfId="4" applyFont="1" applyFill="1"/>
    <xf numFmtId="0" fontId="4" fillId="6" borderId="0" xfId="4" applyFont="1" applyFill="1"/>
    <xf numFmtId="0" fontId="4" fillId="7" borderId="0" xfId="4" applyFont="1" applyFill="1"/>
    <xf numFmtId="0" fontId="11" fillId="0" borderId="8" xfId="4" applyFont="1" applyBorder="1" applyAlignment="1">
      <alignment horizontal="center"/>
    </xf>
    <xf numFmtId="0" fontId="11" fillId="8" borderId="8" xfId="4" applyFont="1" applyFill="1" applyBorder="1" applyAlignment="1">
      <alignment horizontal="center"/>
    </xf>
    <xf numFmtId="0" fontId="11" fillId="8" borderId="8" xfId="4" applyFont="1" applyFill="1" applyBorder="1" applyAlignment="1">
      <alignment horizontal="center" vertical="center"/>
    </xf>
    <xf numFmtId="3" fontId="11" fillId="8" borderId="8" xfId="4" applyNumberFormat="1" applyFont="1" applyFill="1" applyBorder="1" applyAlignment="1">
      <alignment horizontal="center"/>
    </xf>
    <xf numFmtId="3" fontId="4" fillId="0" borderId="0" xfId="4" applyNumberFormat="1" applyFont="1" applyAlignment="1">
      <alignment horizontal="center"/>
    </xf>
    <xf numFmtId="0" fontId="4" fillId="0" borderId="0" xfId="4" applyFont="1" applyAlignment="1">
      <alignment horizontal="center"/>
    </xf>
    <xf numFmtId="165" fontId="11" fillId="8" borderId="8" xfId="10" applyNumberFormat="1" applyFont="1" applyFill="1" applyBorder="1" applyAlignment="1">
      <alignment horizontal="center"/>
    </xf>
    <xf numFmtId="0" fontId="11" fillId="2" borderId="0" xfId="4" applyFont="1" applyFill="1" applyAlignment="1">
      <alignment horizontal="center"/>
    </xf>
    <xf numFmtId="165" fontId="11" fillId="2" borderId="0" xfId="10" applyNumberFormat="1" applyFont="1" applyFill="1" applyBorder="1" applyAlignment="1">
      <alignment horizontal="center"/>
    </xf>
    <xf numFmtId="165" fontId="4" fillId="2" borderId="0" xfId="10" applyNumberFormat="1" applyFont="1" applyFill="1" applyBorder="1" applyAlignment="1">
      <alignment horizontal="center"/>
    </xf>
    <xf numFmtId="0" fontId="4" fillId="2" borderId="0" xfId="4" applyFont="1" applyFill="1" applyAlignment="1">
      <alignment horizontal="center"/>
    </xf>
    <xf numFmtId="0" fontId="11" fillId="2" borderId="0" xfId="4" applyFont="1" applyFill="1" applyAlignment="1">
      <alignment horizontal="left" wrapText="1"/>
    </xf>
    <xf numFmtId="3" fontId="4" fillId="2" borderId="0" xfId="4" applyNumberFormat="1" applyFont="1" applyFill="1"/>
    <xf numFmtId="0" fontId="11" fillId="9" borderId="8" xfId="4" applyFont="1" applyFill="1" applyBorder="1" applyAlignment="1">
      <alignment horizontal="center"/>
    </xf>
    <xf numFmtId="164" fontId="11" fillId="9" borderId="8" xfId="9" applyNumberFormat="1" applyFont="1" applyFill="1" applyBorder="1" applyAlignment="1">
      <alignment horizontal="center"/>
    </xf>
    <xf numFmtId="165" fontId="4" fillId="0" borderId="0" xfId="4" applyNumberFormat="1" applyFont="1"/>
    <xf numFmtId="0" fontId="4" fillId="0" borderId="8" xfId="4" applyFont="1" applyBorder="1" applyAlignment="1">
      <alignment horizontal="center" vertical="center"/>
    </xf>
    <xf numFmtId="0" fontId="4" fillId="0" borderId="8" xfId="4" applyFont="1" applyBorder="1" applyAlignment="1">
      <alignment horizontal="left" vertical="center"/>
    </xf>
    <xf numFmtId="164" fontId="4" fillId="0" borderId="8" xfId="8" applyNumberFormat="1" applyFont="1" applyBorder="1" applyAlignment="1">
      <alignment horizontal="right" vertical="center"/>
    </xf>
    <xf numFmtId="3" fontId="4" fillId="0" borderId="8" xfId="4" applyNumberFormat="1" applyFont="1" applyBorder="1" applyAlignment="1">
      <alignment horizontal="right" vertical="center"/>
    </xf>
    <xf numFmtId="0" fontId="4" fillId="0" borderId="8" xfId="0" applyFont="1" applyBorder="1" applyAlignment="1">
      <alignment horizontal="center"/>
    </xf>
    <xf numFmtId="0" fontId="4" fillId="0" borderId="8" xfId="0" applyFont="1" applyBorder="1" applyAlignment="1">
      <alignment horizontal="left"/>
    </xf>
    <xf numFmtId="3" fontId="4" fillId="0" borderId="8" xfId="0" applyNumberFormat="1" applyFont="1" applyBorder="1"/>
    <xf numFmtId="9" fontId="4" fillId="2" borderId="8" xfId="54" applyFont="1" applyFill="1" applyBorder="1"/>
    <xf numFmtId="3" fontId="4" fillId="0" borderId="8" xfId="0" applyNumberFormat="1" applyFont="1" applyBorder="1" applyAlignment="1">
      <alignment horizontal="right"/>
    </xf>
    <xf numFmtId="164" fontId="4" fillId="0" borderId="0" xfId="8" applyNumberFormat="1" applyFont="1" applyAlignment="1">
      <alignment horizontal="justify" wrapText="1"/>
    </xf>
    <xf numFmtId="9" fontId="4" fillId="2" borderId="8" xfId="0" applyNumberFormat="1" applyFont="1" applyFill="1" applyBorder="1"/>
    <xf numFmtId="164" fontId="4" fillId="0" borderId="0" xfId="8" applyNumberFormat="1" applyFont="1"/>
    <xf numFmtId="0" fontId="11" fillId="9" borderId="8" xfId="4" applyFont="1" applyFill="1" applyBorder="1" applyAlignment="1">
      <alignment horizontal="left"/>
    </xf>
    <xf numFmtId="0" fontId="4" fillId="9" borderId="8" xfId="4" applyFont="1" applyFill="1" applyBorder="1"/>
    <xf numFmtId="3" fontId="4" fillId="9" borderId="8" xfId="4" applyNumberFormat="1" applyFont="1" applyFill="1" applyBorder="1"/>
    <xf numFmtId="165" fontId="11" fillId="9" borderId="9" xfId="10" applyNumberFormat="1" applyFont="1" applyFill="1" applyBorder="1" applyAlignment="1">
      <alignment horizontal="center"/>
    </xf>
    <xf numFmtId="164" fontId="4" fillId="2" borderId="0" xfId="8" applyNumberFormat="1" applyFont="1" applyFill="1"/>
    <xf numFmtId="0" fontId="4" fillId="2" borderId="27" xfId="56" applyFont="1" applyFill="1" applyBorder="1" applyAlignment="1">
      <alignment horizontal="justify" vertical="center" wrapText="1"/>
    </xf>
    <xf numFmtId="0" fontId="4" fillId="0" borderId="12" xfId="3" applyFont="1" applyBorder="1" applyAlignment="1">
      <alignment wrapText="1"/>
    </xf>
    <xf numFmtId="0" fontId="4" fillId="0" borderId="0" xfId="3" applyFont="1" applyAlignment="1">
      <alignment wrapText="1"/>
    </xf>
    <xf numFmtId="164" fontId="11" fillId="0" borderId="0" xfId="9" applyNumberFormat="1" applyFont="1" applyBorder="1"/>
    <xf numFmtId="0" fontId="4" fillId="0" borderId="8" xfId="57" applyFont="1" applyBorder="1" applyAlignment="1">
      <alignment horizontal="left" vertical="center"/>
    </xf>
    <xf numFmtId="165" fontId="11" fillId="9" borderId="8" xfId="7" applyNumberFormat="1" applyFont="1" applyFill="1" applyBorder="1" applyAlignment="1">
      <alignment horizontal="center"/>
    </xf>
    <xf numFmtId="0" fontId="11" fillId="8" borderId="28" xfId="57" applyFont="1" applyFill="1" applyBorder="1" applyAlignment="1">
      <alignment horizontal="center" vertical="center"/>
    </xf>
    <xf numFmtId="0" fontId="4" fillId="0" borderId="8" xfId="0" applyFont="1" applyBorder="1" applyAlignment="1">
      <alignment horizontal="justify" vertical="center"/>
    </xf>
    <xf numFmtId="0" fontId="4" fillId="0" borderId="8" xfId="57" applyFont="1" applyBorder="1"/>
    <xf numFmtId="164" fontId="4" fillId="0" borderId="8" xfId="9" applyNumberFormat="1" applyFont="1" applyBorder="1"/>
    <xf numFmtId="0" fontId="4" fillId="0" borderId="8" xfId="0" applyFont="1" applyBorder="1"/>
    <xf numFmtId="0" fontId="4" fillId="0" borderId="8" xfId="57" applyFont="1" applyBorder="1" applyAlignment="1">
      <alignment horizontal="center"/>
    </xf>
    <xf numFmtId="9" fontId="4" fillId="0" borderId="8" xfId="57" applyNumberFormat="1" applyFont="1" applyBorder="1"/>
    <xf numFmtId="0" fontId="4" fillId="8" borderId="28" xfId="57" applyFont="1" applyFill="1" applyBorder="1" applyAlignment="1">
      <alignment horizontal="center" vertical="center"/>
    </xf>
    <xf numFmtId="3" fontId="4" fillId="8" borderId="28" xfId="57" applyNumberFormat="1" applyFont="1" applyFill="1" applyBorder="1" applyAlignment="1">
      <alignment horizontal="center" vertical="center"/>
    </xf>
    <xf numFmtId="165" fontId="11" fillId="8" borderId="28" xfId="58" applyNumberFormat="1" applyFont="1" applyFill="1" applyBorder="1" applyAlignment="1">
      <alignment horizontal="right" vertical="center"/>
    </xf>
    <xf numFmtId="0" fontId="4" fillId="2" borderId="27" xfId="57" applyFont="1" applyFill="1" applyBorder="1" applyAlignment="1">
      <alignment horizontal="justify" vertical="center" wrapText="1"/>
    </xf>
    <xf numFmtId="0" fontId="4" fillId="0" borderId="0" xfId="57" applyFont="1" applyAlignment="1">
      <alignment vertical="center" wrapText="1"/>
    </xf>
    <xf numFmtId="0" fontId="11" fillId="8" borderId="8" xfId="57" applyFont="1" applyFill="1" applyBorder="1" applyAlignment="1">
      <alignment horizontal="center" vertical="center"/>
    </xf>
    <xf numFmtId="164" fontId="11" fillId="8" borderId="8" xfId="41" applyNumberFormat="1" applyFont="1" applyFill="1" applyBorder="1" applyAlignment="1">
      <alignment horizontal="center" vertical="center"/>
    </xf>
    <xf numFmtId="0" fontId="4" fillId="0" borderId="8" xfId="53" applyFont="1" applyBorder="1" applyAlignment="1">
      <alignment horizontal="center"/>
    </xf>
    <xf numFmtId="0" fontId="4" fillId="0" borderId="8" xfId="53" applyFont="1" applyBorder="1" applyAlignment="1">
      <alignment horizontal="left"/>
    </xf>
    <xf numFmtId="9" fontId="4" fillId="2" borderId="8" xfId="53" applyNumberFormat="1" applyFont="1" applyFill="1" applyBorder="1"/>
    <xf numFmtId="0" fontId="4" fillId="0" borderId="8" xfId="53" applyFont="1" applyBorder="1"/>
    <xf numFmtId="0" fontId="4" fillId="2" borderId="8" xfId="53" applyFont="1" applyFill="1" applyBorder="1" applyAlignment="1">
      <alignment horizontal="left"/>
    </xf>
    <xf numFmtId="0" fontId="4" fillId="0" borderId="8" xfId="57" applyFont="1" applyBorder="1" applyAlignment="1">
      <alignment vertical="center"/>
    </xf>
    <xf numFmtId="0" fontId="4" fillId="0" borderId="8" xfId="57" applyFont="1" applyBorder="1" applyAlignment="1">
      <alignment horizontal="center" vertical="center"/>
    </xf>
    <xf numFmtId="164" fontId="4" fillId="0" borderId="8" xfId="14" applyNumberFormat="1" applyFont="1" applyBorder="1" applyAlignment="1">
      <alignment vertical="center"/>
    </xf>
    <xf numFmtId="9" fontId="4" fillId="0" borderId="8" xfId="57" applyNumberFormat="1" applyFont="1" applyBorder="1" applyAlignment="1">
      <alignment vertical="center"/>
    </xf>
    <xf numFmtId="164" fontId="4" fillId="0" borderId="8" xfId="14" applyNumberFormat="1" applyFont="1" applyBorder="1" applyAlignment="1">
      <alignment horizontal="center" vertical="center"/>
    </xf>
    <xf numFmtId="0" fontId="11" fillId="8" borderId="8" xfId="57" applyFont="1" applyFill="1" applyBorder="1" applyAlignment="1">
      <alignment horizontal="left" vertical="center"/>
    </xf>
    <xf numFmtId="0" fontId="4" fillId="8" borderId="8" xfId="57" applyFont="1" applyFill="1" applyBorder="1" applyAlignment="1">
      <alignment vertical="center"/>
    </xf>
    <xf numFmtId="3" fontId="4" fillId="8" borderId="8" xfId="57" applyNumberFormat="1" applyFont="1" applyFill="1" applyBorder="1" applyAlignment="1">
      <alignment vertical="center"/>
    </xf>
    <xf numFmtId="165" fontId="11" fillId="8" borderId="8" xfId="58" applyNumberFormat="1" applyFont="1" applyFill="1" applyBorder="1" applyAlignment="1">
      <alignment horizontal="right" vertical="center"/>
    </xf>
    <xf numFmtId="0" fontId="4" fillId="2" borderId="0" xfId="57" applyFont="1" applyFill="1" applyAlignment="1">
      <alignment horizontal="justify" vertical="center" wrapText="1"/>
    </xf>
    <xf numFmtId="0" fontId="4" fillId="2" borderId="0" xfId="57" applyFont="1" applyFill="1" applyAlignment="1">
      <alignment vertical="center" wrapText="1"/>
    </xf>
    <xf numFmtId="0" fontId="11" fillId="8" borderId="29" xfId="57" applyFont="1" applyFill="1" applyBorder="1" applyAlignment="1">
      <alignment horizontal="center" vertical="center"/>
    </xf>
    <xf numFmtId="0" fontId="11" fillId="8" borderId="30" xfId="57" applyFont="1" applyFill="1" applyBorder="1" applyAlignment="1">
      <alignment horizontal="center" vertical="center"/>
    </xf>
    <xf numFmtId="0" fontId="4" fillId="8" borderId="30" xfId="57" applyFont="1" applyFill="1" applyBorder="1" applyAlignment="1">
      <alignment vertical="center"/>
    </xf>
    <xf numFmtId="3" fontId="4" fillId="8" borderId="30" xfId="57" applyNumberFormat="1" applyFont="1" applyFill="1" applyBorder="1" applyAlignment="1">
      <alignment vertical="center"/>
    </xf>
    <xf numFmtId="165" fontId="11" fillId="8" borderId="30" xfId="58" applyNumberFormat="1" applyFont="1" applyFill="1" applyBorder="1" applyAlignment="1">
      <alignment horizontal="center" vertical="center"/>
    </xf>
    <xf numFmtId="0" fontId="4" fillId="2" borderId="27" xfId="57" applyFont="1" applyFill="1" applyBorder="1" applyAlignment="1">
      <alignment vertical="center" wrapText="1"/>
    </xf>
    <xf numFmtId="10" fontId="29" fillId="0" borderId="0" xfId="0" applyNumberFormat="1" applyFont="1" applyAlignment="1">
      <alignment horizontal="center" wrapText="1"/>
    </xf>
    <xf numFmtId="10" fontId="3" fillId="5" borderId="8" xfId="18" applyNumberFormat="1" applyFont="1" applyFill="1" applyBorder="1" applyAlignment="1">
      <alignment horizontal="center" vertical="center" wrapText="1"/>
    </xf>
    <xf numFmtId="10" fontId="25" fillId="9" borderId="8" xfId="54" applyNumberFormat="1" applyFont="1" applyFill="1" applyBorder="1" applyAlignment="1">
      <alignment vertical="center" wrapText="1"/>
    </xf>
    <xf numFmtId="10" fontId="24" fillId="13" borderId="8" xfId="54" applyNumberFormat="1" applyFont="1" applyFill="1" applyBorder="1" applyAlignment="1">
      <alignment vertical="center" wrapText="1"/>
    </xf>
    <xf numFmtId="10" fontId="2" fillId="0" borderId="0" xfId="18" applyNumberFormat="1" applyFont="1" applyBorder="1"/>
    <xf numFmtId="10" fontId="2" fillId="0" borderId="0" xfId="18" applyNumberFormat="1" applyFont="1"/>
    <xf numFmtId="0" fontId="2" fillId="0" borderId="0" xfId="3" applyFont="1" applyAlignment="1">
      <alignment wrapText="1"/>
    </xf>
    <xf numFmtId="0" fontId="2" fillId="0" borderId="8" xfId="4" applyFont="1" applyBorder="1" applyAlignment="1">
      <alignment wrapText="1"/>
    </xf>
    <xf numFmtId="0" fontId="3" fillId="2" borderId="0" xfId="4" applyFont="1" applyFill="1" applyAlignment="1">
      <alignment horizontal="left" wrapText="1"/>
    </xf>
    <xf numFmtId="0" fontId="11" fillId="2" borderId="0" xfId="4" applyFont="1" applyFill="1" applyBorder="1" applyAlignment="1">
      <alignment horizontal="left"/>
    </xf>
    <xf numFmtId="0" fontId="4" fillId="2" borderId="0" xfId="4" applyFont="1" applyFill="1" applyBorder="1"/>
    <xf numFmtId="3" fontId="4" fillId="2" borderId="0" xfId="4" applyNumberFormat="1" applyFont="1" applyFill="1" applyBorder="1"/>
    <xf numFmtId="165" fontId="11" fillId="2" borderId="0" xfId="7" applyNumberFormat="1" applyFont="1" applyFill="1" applyBorder="1" applyAlignment="1">
      <alignment horizontal="center"/>
    </xf>
    <xf numFmtId="0" fontId="11" fillId="0" borderId="0" xfId="3" applyFont="1" applyAlignment="1">
      <alignment horizontal="justify" vertical="top" wrapText="1"/>
    </xf>
    <xf numFmtId="164" fontId="3" fillId="9" borderId="8" xfId="18" applyNumberFormat="1" applyFont="1" applyFill="1" applyBorder="1" applyAlignment="1">
      <alignment horizontal="left"/>
    </xf>
    <xf numFmtId="164" fontId="3" fillId="9" borderId="8" xfId="18" applyNumberFormat="1" applyFont="1" applyFill="1" applyBorder="1" applyAlignment="1">
      <alignment horizontal="center"/>
    </xf>
    <xf numFmtId="0" fontId="3" fillId="8" borderId="8" xfId="4" applyFont="1" applyFill="1" applyBorder="1"/>
    <xf numFmtId="164" fontId="11" fillId="8" borderId="8" xfId="8" applyNumberFormat="1" applyFont="1" applyFill="1" applyBorder="1"/>
    <xf numFmtId="0" fontId="3" fillId="12" borderId="8" xfId="4" applyFont="1" applyFill="1" applyBorder="1"/>
    <xf numFmtId="164" fontId="11" fillId="12" borderId="8" xfId="8" applyNumberFormat="1" applyFont="1" applyFill="1" applyBorder="1"/>
    <xf numFmtId="164" fontId="4" fillId="0" borderId="0" xfId="8" applyNumberFormat="1" applyFont="1" applyFill="1" applyBorder="1"/>
    <xf numFmtId="14" fontId="22" fillId="2" borderId="8" xfId="0" applyNumberFormat="1" applyFont="1" applyFill="1" applyBorder="1" applyAlignment="1">
      <alignment horizontal="center" vertical="center"/>
    </xf>
    <xf numFmtId="165" fontId="22" fillId="2" borderId="8" xfId="0" applyNumberFormat="1" applyFont="1" applyFill="1" applyBorder="1" applyAlignment="1">
      <alignment horizontal="center" vertical="center"/>
    </xf>
    <xf numFmtId="0" fontId="2" fillId="0" borderId="0" xfId="3" applyFont="1" applyBorder="1" applyAlignment="1">
      <alignment horizontal="justify" vertical="top" wrapText="1"/>
    </xf>
    <xf numFmtId="0" fontId="3" fillId="14" borderId="8" xfId="4" applyFont="1" applyFill="1" applyBorder="1" applyAlignment="1">
      <alignment horizontal="left"/>
    </xf>
    <xf numFmtId="165" fontId="3" fillId="12" borderId="8" xfId="3" applyNumberFormat="1" applyFont="1" applyFill="1" applyBorder="1" applyAlignment="1">
      <alignment wrapText="1"/>
    </xf>
    <xf numFmtId="0" fontId="12" fillId="0" borderId="0" xfId="3" applyFont="1" applyAlignment="1">
      <alignment horizontal="justify" vertical="top" wrapText="1"/>
    </xf>
    <xf numFmtId="0" fontId="30" fillId="2" borderId="12" xfId="4" applyFont="1" applyFill="1" applyBorder="1" applyAlignment="1">
      <alignment horizontal="justify" vertical="top" wrapText="1"/>
    </xf>
    <xf numFmtId="0" fontId="30" fillId="2" borderId="0" xfId="4" applyFont="1" applyFill="1" applyBorder="1" applyAlignment="1">
      <alignment horizontal="justify" vertical="top" wrapText="1"/>
    </xf>
    <xf numFmtId="0" fontId="2" fillId="0" borderId="0" xfId="3" applyFont="1" applyAlignment="1">
      <alignment wrapText="1"/>
    </xf>
    <xf numFmtId="0" fontId="3" fillId="2" borderId="0" xfId="4" applyFont="1" applyFill="1" applyAlignment="1">
      <alignment horizontal="left" wrapText="1"/>
    </xf>
    <xf numFmtId="0" fontId="4" fillId="2" borderId="8" xfId="4" applyFont="1" applyFill="1" applyBorder="1" applyAlignment="1">
      <alignment horizontal="center" vertical="center"/>
    </xf>
    <xf numFmtId="164" fontId="3" fillId="2" borderId="8" xfId="8" applyNumberFormat="1" applyFont="1" applyFill="1" applyBorder="1" applyAlignment="1">
      <alignment horizontal="center" vertical="center" wrapText="1"/>
    </xf>
    <xf numFmtId="0" fontId="2" fillId="2" borderId="0" xfId="18" applyNumberFormat="1" applyFont="1" applyFill="1"/>
    <xf numFmtId="0" fontId="3" fillId="2" borderId="0" xfId="18" applyNumberFormat="1" applyFont="1" applyFill="1"/>
    <xf numFmtId="0" fontId="23" fillId="2" borderId="0" xfId="18" applyNumberFormat="1" applyFont="1" applyFill="1" applyBorder="1"/>
    <xf numFmtId="164" fontId="2" fillId="2" borderId="8" xfId="18" applyNumberFormat="1" applyFont="1" applyFill="1" applyBorder="1" applyAlignment="1">
      <alignment horizontal="center" vertical="center"/>
    </xf>
    <xf numFmtId="9" fontId="2" fillId="2" borderId="8" xfId="54" applyFont="1" applyFill="1" applyBorder="1" applyAlignment="1">
      <alignment horizontal="center" vertical="center"/>
    </xf>
    <xf numFmtId="9" fontId="2" fillId="2" borderId="8" xfId="18" applyNumberFormat="1" applyFont="1" applyFill="1" applyBorder="1" applyAlignment="1">
      <alignment horizontal="center" vertical="center"/>
    </xf>
    <xf numFmtId="0" fontId="2" fillId="2" borderId="8" xfId="18" applyNumberFormat="1" applyFont="1" applyFill="1" applyBorder="1" applyAlignment="1">
      <alignment horizontal="center" vertical="center"/>
    </xf>
    <xf numFmtId="0" fontId="28" fillId="0" borderId="0" xfId="18" applyNumberFormat="1" applyFont="1" applyAlignment="1">
      <alignment horizontal="left" wrapText="1"/>
    </xf>
    <xf numFmtId="164" fontId="3" fillId="2" borderId="8" xfId="8" applyNumberFormat="1" applyFont="1" applyFill="1" applyBorder="1" applyAlignment="1">
      <alignment horizontal="left" vertical="center" wrapText="1"/>
    </xf>
    <xf numFmtId="164" fontId="2" fillId="0" borderId="0" xfId="18" applyNumberFormat="1" applyFont="1" applyAlignment="1">
      <alignment horizontal="left"/>
    </xf>
    <xf numFmtId="164" fontId="3" fillId="4" borderId="8" xfId="8" applyNumberFormat="1" applyFont="1" applyFill="1" applyBorder="1" applyAlignment="1">
      <alignment horizontal="center" vertical="center" wrapText="1"/>
    </xf>
    <xf numFmtId="164" fontId="3" fillId="2" borderId="0" xfId="18" applyNumberFormat="1" applyFont="1" applyFill="1"/>
    <xf numFmtId="164" fontId="3" fillId="12" borderId="8" xfId="8" applyNumberFormat="1" applyFont="1" applyFill="1" applyBorder="1" applyAlignment="1">
      <alignment horizontal="center" vertical="center" wrapText="1"/>
    </xf>
    <xf numFmtId="164" fontId="23" fillId="4" borderId="8" xfId="18" applyNumberFormat="1" applyFont="1" applyFill="1" applyBorder="1" applyAlignment="1">
      <alignment horizontal="center" vertical="center" wrapText="1"/>
    </xf>
    <xf numFmtId="164" fontId="23" fillId="12" borderId="8" xfId="18" applyNumberFormat="1" applyFont="1" applyFill="1" applyBorder="1" applyAlignment="1">
      <alignment horizontal="center" vertical="center" wrapText="1"/>
    </xf>
    <xf numFmtId="164" fontId="23" fillId="2" borderId="8" xfId="18" applyNumberFormat="1" applyFont="1" applyFill="1" applyBorder="1" applyAlignment="1">
      <alignment horizontal="center" vertical="center" wrapText="1"/>
    </xf>
    <xf numFmtId="164" fontId="23" fillId="4" borderId="8" xfId="8" applyNumberFormat="1" applyFont="1" applyFill="1" applyBorder="1" applyAlignment="1">
      <alignment horizontal="center" vertical="center" wrapText="1"/>
    </xf>
    <xf numFmtId="164" fontId="3" fillId="12" borderId="8" xfId="8" applyNumberFormat="1" applyFont="1" applyFill="1" applyBorder="1" applyAlignment="1">
      <alignment horizontal="right"/>
    </xf>
    <xf numFmtId="164" fontId="3" fillId="5" borderId="8" xfId="8" applyNumberFormat="1" applyFont="1" applyFill="1" applyBorder="1" applyAlignment="1">
      <alignment horizontal="center" vertical="center" wrapText="1"/>
    </xf>
    <xf numFmtId="10" fontId="23" fillId="4" borderId="8" xfId="54" applyNumberFormat="1" applyFont="1" applyFill="1" applyBorder="1" applyAlignment="1">
      <alignment horizontal="center" vertical="center" wrapText="1"/>
    </xf>
    <xf numFmtId="10" fontId="23" fillId="12" borderId="8" xfId="54" applyNumberFormat="1" applyFont="1" applyFill="1" applyBorder="1" applyAlignment="1">
      <alignment horizontal="center" vertical="center" wrapText="1"/>
    </xf>
    <xf numFmtId="10" fontId="23" fillId="2" borderId="8" xfId="54" applyNumberFormat="1" applyFont="1" applyFill="1" applyBorder="1" applyAlignment="1">
      <alignment horizontal="center" vertical="center" wrapText="1"/>
    </xf>
    <xf numFmtId="164" fontId="19" fillId="0" borderId="0" xfId="18" applyNumberFormat="1" applyFont="1" applyAlignment="1">
      <alignment horizontal="justify" wrapText="1"/>
    </xf>
    <xf numFmtId="164" fontId="3" fillId="9" borderId="9" xfId="18" applyNumberFormat="1" applyFont="1" applyFill="1" applyBorder="1" applyAlignment="1">
      <alignment horizontal="center"/>
    </xf>
    <xf numFmtId="164" fontId="3" fillId="9" borderId="22" xfId="18" applyNumberFormat="1" applyFont="1" applyFill="1" applyBorder="1" applyAlignment="1">
      <alignment horizontal="center"/>
    </xf>
    <xf numFmtId="164" fontId="2" fillId="2" borderId="0" xfId="18" applyNumberFormat="1" applyFont="1" applyFill="1" applyBorder="1"/>
    <xf numFmtId="164" fontId="2" fillId="0" borderId="8" xfId="18" applyNumberFormat="1" applyFont="1" applyFill="1" applyBorder="1"/>
    <xf numFmtId="0" fontId="2" fillId="0" borderId="0" xfId="3" applyFont="1" applyAlignment="1">
      <alignment wrapText="1"/>
    </xf>
    <xf numFmtId="43" fontId="2" fillId="0" borderId="0" xfId="18" applyFont="1"/>
    <xf numFmtId="164" fontId="22" fillId="0" borderId="0" xfId="18" applyNumberFormat="1" applyFont="1" applyAlignment="1">
      <alignment vertical="center"/>
    </xf>
    <xf numFmtId="164" fontId="22" fillId="0" borderId="0" xfId="18" applyNumberFormat="1" applyFont="1" applyAlignment="1">
      <alignment vertical="center" wrapText="1"/>
    </xf>
    <xf numFmtId="43" fontId="2" fillId="2" borderId="0" xfId="18" applyFont="1" applyFill="1"/>
    <xf numFmtId="164" fontId="4" fillId="0" borderId="0" xfId="18" applyNumberFormat="1" applyFont="1"/>
    <xf numFmtId="164" fontId="4" fillId="2" borderId="0" xfId="18" applyNumberFormat="1" applyFont="1" applyFill="1"/>
    <xf numFmtId="9" fontId="4" fillId="2" borderId="8" xfId="4" applyNumberFormat="1" applyFont="1" applyFill="1" applyBorder="1"/>
    <xf numFmtId="0" fontId="5" fillId="2" borderId="26" xfId="50" applyFont="1" applyFill="1" applyBorder="1" applyAlignment="1">
      <alignment horizontal="left" vertical="center" wrapText="1"/>
    </xf>
    <xf numFmtId="0" fontId="5" fillId="2" borderId="26" xfId="49" applyFont="1" applyFill="1" applyBorder="1" applyAlignment="1">
      <alignment horizontal="left" vertical="center" wrapText="1"/>
    </xf>
    <xf numFmtId="9" fontId="4" fillId="0" borderId="8" xfId="54" applyFont="1" applyBorder="1" applyAlignment="1">
      <alignment horizontal="center" vertical="center"/>
    </xf>
    <xf numFmtId="0" fontId="4" fillId="0" borderId="8" xfId="4" applyFont="1" applyBorder="1" applyAlignment="1">
      <alignment wrapText="1"/>
    </xf>
    <xf numFmtId="0" fontId="4" fillId="0" borderId="8" xfId="13" applyFont="1" applyBorder="1" applyAlignment="1">
      <alignment vertical="center"/>
    </xf>
    <xf numFmtId="164" fontId="4" fillId="0" borderId="8" xfId="18" applyNumberFormat="1" applyFont="1" applyBorder="1" applyAlignment="1">
      <alignment horizontal="right" vertical="center"/>
    </xf>
    <xf numFmtId="0" fontId="4" fillId="2" borderId="8" xfId="13" applyFont="1" applyFill="1" applyBorder="1" applyAlignment="1">
      <alignment vertical="center"/>
    </xf>
    <xf numFmtId="164" fontId="4" fillId="2" borderId="8" xfId="18" applyNumberFormat="1" applyFont="1" applyFill="1" applyBorder="1" applyAlignment="1">
      <alignment horizontal="right" vertical="center"/>
    </xf>
    <xf numFmtId="0" fontId="4" fillId="2" borderId="8" xfId="57" applyFont="1" applyFill="1" applyBorder="1" applyAlignment="1">
      <alignment vertical="center"/>
    </xf>
    <xf numFmtId="0" fontId="4" fillId="2" borderId="8" xfId="59" applyFont="1" applyFill="1" applyBorder="1" applyAlignment="1">
      <alignment vertical="center"/>
    </xf>
    <xf numFmtId="9" fontId="4" fillId="2" borderId="8" xfId="28" applyFont="1" applyFill="1" applyBorder="1"/>
    <xf numFmtId="0" fontId="4" fillId="2" borderId="8" xfId="3" applyFont="1" applyFill="1" applyBorder="1"/>
    <xf numFmtId="9" fontId="4" fillId="2" borderId="8" xfId="3" applyNumberFormat="1" applyFont="1" applyFill="1" applyBorder="1"/>
    <xf numFmtId="0" fontId="3" fillId="2" borderId="0" xfId="4" applyFont="1" applyFill="1" applyAlignment="1">
      <alignment horizontal="left" wrapText="1"/>
    </xf>
    <xf numFmtId="0" fontId="5" fillId="2" borderId="0" xfId="50" applyFont="1" applyFill="1" applyAlignment="1">
      <alignment horizontal="justify"/>
    </xf>
    <xf numFmtId="164" fontId="3" fillId="2" borderId="8" xfId="18" applyNumberFormat="1" applyFont="1" applyFill="1" applyBorder="1" applyAlignment="1"/>
    <xf numFmtId="164" fontId="3" fillId="14" borderId="8" xfId="18" applyNumberFormat="1" applyFont="1" applyFill="1" applyBorder="1" applyAlignment="1">
      <alignment horizontal="left"/>
    </xf>
    <xf numFmtId="0" fontId="3" fillId="5" borderId="8" xfId="4" applyFont="1" applyFill="1" applyBorder="1" applyAlignment="1">
      <alignment horizontal="left"/>
    </xf>
    <xf numFmtId="0" fontId="3" fillId="15" borderId="8" xfId="4" applyFont="1" applyFill="1" applyBorder="1" applyAlignment="1">
      <alignment horizontal="left"/>
    </xf>
    <xf numFmtId="0" fontId="3" fillId="16" borderId="8" xfId="4" applyFont="1" applyFill="1" applyBorder="1" applyAlignment="1">
      <alignment horizontal="left"/>
    </xf>
    <xf numFmtId="164" fontId="3" fillId="5" borderId="8" xfId="18" applyNumberFormat="1" applyFont="1" applyFill="1" applyBorder="1" applyAlignment="1">
      <alignment horizontal="left"/>
    </xf>
    <xf numFmtId="164" fontId="3" fillId="15" borderId="8" xfId="18" applyNumberFormat="1" applyFont="1" applyFill="1" applyBorder="1" applyAlignment="1">
      <alignment horizontal="left"/>
    </xf>
    <xf numFmtId="164" fontId="3" fillId="16" borderId="8" xfId="18" applyNumberFormat="1" applyFont="1" applyFill="1" applyBorder="1" applyAlignment="1">
      <alignment horizontal="left"/>
    </xf>
    <xf numFmtId="0" fontId="4" fillId="0" borderId="10" xfId="4" applyFont="1" applyBorder="1"/>
    <xf numFmtId="0" fontId="2" fillId="12" borderId="10" xfId="4" applyFont="1" applyFill="1" applyBorder="1"/>
    <xf numFmtId="0" fontId="4" fillId="0" borderId="9" xfId="4" applyFont="1" applyBorder="1"/>
    <xf numFmtId="0" fontId="2" fillId="12" borderId="9" xfId="4" applyFont="1" applyFill="1" applyBorder="1"/>
    <xf numFmtId="164" fontId="4" fillId="0" borderId="10" xfId="8" applyNumberFormat="1" applyFont="1" applyBorder="1"/>
    <xf numFmtId="0" fontId="13" fillId="0" borderId="0" xfId="3" applyFont="1" applyAlignment="1">
      <alignment horizontal="justify" vertical="top" wrapText="1"/>
    </xf>
    <xf numFmtId="0" fontId="3" fillId="2" borderId="0" xfId="4" applyFont="1" applyFill="1" applyAlignment="1">
      <alignment horizontal="left" wrapText="1"/>
    </xf>
    <xf numFmtId="166" fontId="2" fillId="2" borderId="8" xfId="4" applyNumberFormat="1" applyFont="1" applyFill="1" applyBorder="1"/>
    <xf numFmtId="10" fontId="2" fillId="2" borderId="8" xfId="4" applyNumberFormat="1" applyFont="1" applyFill="1" applyBorder="1"/>
    <xf numFmtId="0" fontId="2" fillId="0" borderId="0" xfId="3" applyFont="1" applyBorder="1" applyAlignment="1">
      <alignment horizontal="justify" wrapText="1"/>
    </xf>
    <xf numFmtId="0" fontId="0" fillId="0" borderId="0" xfId="0" applyBorder="1" applyAlignment="1">
      <alignment horizontal="justify" wrapText="1"/>
    </xf>
    <xf numFmtId="0" fontId="3" fillId="2" borderId="0" xfId="4" applyFont="1" applyFill="1" applyBorder="1" applyAlignment="1">
      <alignment horizontal="left" wrapText="1"/>
    </xf>
    <xf numFmtId="3" fontId="2" fillId="2" borderId="0" xfId="4" applyNumberFormat="1" applyFont="1" applyFill="1" applyBorder="1"/>
    <xf numFmtId="0" fontId="3" fillId="9" borderId="7" xfId="4" applyFont="1" applyFill="1" applyBorder="1" applyAlignment="1">
      <alignment horizontal="center"/>
    </xf>
    <xf numFmtId="164" fontId="3" fillId="9" borderId="7" xfId="9" applyNumberFormat="1" applyFont="1" applyFill="1" applyBorder="1" applyAlignment="1">
      <alignment horizontal="center"/>
    </xf>
    <xf numFmtId="0" fontId="3" fillId="5" borderId="11" xfId="4" applyFont="1" applyFill="1" applyBorder="1" applyAlignment="1">
      <alignment horizontal="right"/>
    </xf>
    <xf numFmtId="0" fontId="3" fillId="5" borderId="11" xfId="4" applyFont="1" applyFill="1" applyBorder="1" applyAlignment="1">
      <alignment horizontal="left"/>
    </xf>
    <xf numFmtId="0" fontId="3" fillId="17" borderId="8" xfId="4" applyFont="1" applyFill="1" applyBorder="1" applyAlignment="1">
      <alignment horizontal="left"/>
    </xf>
    <xf numFmtId="164" fontId="3" fillId="5" borderId="8" xfId="18" applyNumberFormat="1" applyFont="1" applyFill="1" applyBorder="1" applyAlignment="1">
      <alignment horizontal="right"/>
    </xf>
    <xf numFmtId="164" fontId="3" fillId="17" borderId="8" xfId="18" applyNumberFormat="1" applyFont="1" applyFill="1" applyBorder="1" applyAlignment="1">
      <alignment horizontal="left"/>
    </xf>
    <xf numFmtId="0" fontId="3" fillId="5" borderId="11" xfId="4" applyFont="1" applyFill="1" applyBorder="1" applyAlignment="1"/>
    <xf numFmtId="165" fontId="3" fillId="9" borderId="11" xfId="7" applyNumberFormat="1" applyFont="1" applyFill="1" applyBorder="1" applyAlignment="1">
      <alignment horizontal="center" vertical="center"/>
    </xf>
    <xf numFmtId="164" fontId="3" fillId="0" borderId="8" xfId="18" applyNumberFormat="1" applyFont="1" applyBorder="1"/>
    <xf numFmtId="164" fontId="3" fillId="4" borderId="8" xfId="18" applyNumberFormat="1" applyFont="1" applyFill="1" applyBorder="1" applyAlignment="1">
      <alignment horizontal="left" wrapText="1"/>
    </xf>
    <xf numFmtId="164" fontId="3" fillId="14" borderId="8" xfId="18" applyNumberFormat="1" applyFont="1" applyFill="1" applyBorder="1" applyAlignment="1">
      <alignment horizontal="left" wrapText="1"/>
    </xf>
    <xf numFmtId="0" fontId="30" fillId="2" borderId="0" xfId="4" applyFont="1" applyFill="1" applyAlignment="1">
      <alignment horizontal="justify" vertical="top" wrapText="1"/>
    </xf>
    <xf numFmtId="0" fontId="2" fillId="0" borderId="0" xfId="3" applyFont="1" applyAlignment="1">
      <alignment wrapText="1"/>
    </xf>
    <xf numFmtId="0" fontId="3" fillId="2" borderId="0" xfId="4" applyFont="1" applyFill="1" applyAlignment="1">
      <alignment horizontal="left" wrapText="1"/>
    </xf>
    <xf numFmtId="0" fontId="0" fillId="0" borderId="0" xfId="0" applyBorder="1" applyAlignment="1">
      <alignment horizontal="justify" wrapText="1"/>
    </xf>
    <xf numFmtId="0" fontId="33" fillId="2" borderId="0" xfId="4" applyFont="1" applyFill="1" applyAlignment="1">
      <alignment horizontal="justify" vertical="center" wrapText="1"/>
    </xf>
    <xf numFmtId="164" fontId="2" fillId="0" borderId="0" xfId="4" applyNumberFormat="1" applyFont="1" applyBorder="1"/>
    <xf numFmtId="0" fontId="2" fillId="0" borderId="0" xfId="3" applyFont="1" applyAlignment="1">
      <alignment horizontal="left" wrapText="1"/>
    </xf>
    <xf numFmtId="0" fontId="11" fillId="0" borderId="0" xfId="3" applyFont="1" applyBorder="1" applyAlignment="1">
      <alignment horizontal="justify" vertical="top" wrapText="1"/>
    </xf>
    <xf numFmtId="164" fontId="5" fillId="2" borderId="0" xfId="18" applyNumberFormat="1" applyFont="1" applyFill="1"/>
    <xf numFmtId="165" fontId="4" fillId="2" borderId="8" xfId="1" applyNumberFormat="1" applyFont="1" applyFill="1" applyBorder="1" applyAlignment="1">
      <alignment horizontal="right" vertical="center"/>
    </xf>
    <xf numFmtId="165" fontId="4" fillId="2" borderId="8" xfId="1" applyNumberFormat="1" applyFont="1" applyFill="1" applyBorder="1" applyAlignment="1">
      <alignment vertical="center"/>
    </xf>
    <xf numFmtId="0" fontId="3" fillId="2" borderId="0" xfId="4" applyFont="1" applyFill="1" applyAlignment="1">
      <alignment horizontal="center" wrapText="1"/>
    </xf>
    <xf numFmtId="0" fontId="3" fillId="4" borderId="8" xfId="4" applyFont="1" applyFill="1" applyBorder="1"/>
    <xf numFmtId="164" fontId="2" fillId="0" borderId="0" xfId="5" applyNumberFormat="1" applyFont="1" applyBorder="1" applyAlignment="1">
      <alignment horizontal="center"/>
    </xf>
    <xf numFmtId="0" fontId="3" fillId="18" borderId="8" xfId="4" applyFont="1" applyFill="1" applyBorder="1"/>
    <xf numFmtId="0" fontId="2" fillId="0" borderId="0" xfId="4" applyFont="1" applyAlignment="1">
      <alignment horizontal="center" vertical="center" wrapText="1"/>
    </xf>
    <xf numFmtId="0" fontId="3" fillId="0" borderId="8" xfId="4" applyFont="1" applyBorder="1"/>
    <xf numFmtId="164" fontId="3" fillId="0" borderId="8" xfId="5" applyNumberFormat="1" applyFont="1" applyBorder="1" applyAlignment="1">
      <alignment horizontal="center"/>
    </xf>
    <xf numFmtId="165" fontId="2" fillId="0" borderId="8" xfId="1" applyNumberFormat="1" applyFont="1" applyBorder="1"/>
    <xf numFmtId="0" fontId="2" fillId="0" borderId="8" xfId="4" applyFont="1" applyBorder="1" applyAlignment="1">
      <alignment horizontal="center"/>
    </xf>
    <xf numFmtId="164" fontId="2" fillId="0" borderId="0" xfId="5" applyNumberFormat="1" applyFont="1" applyBorder="1"/>
    <xf numFmtId="164" fontId="2" fillId="0" borderId="31" xfId="5" applyNumberFormat="1" applyFont="1" applyBorder="1"/>
    <xf numFmtId="0" fontId="2" fillId="0" borderId="32" xfId="4" applyFont="1" applyBorder="1"/>
    <xf numFmtId="0" fontId="2" fillId="0" borderId="33" xfId="4" applyFont="1" applyBorder="1"/>
    <xf numFmtId="164" fontId="2" fillId="0" borderId="34" xfId="5" applyNumberFormat="1" applyFont="1" applyBorder="1"/>
    <xf numFmtId="0" fontId="2" fillId="0" borderId="35" xfId="4" applyFont="1" applyBorder="1"/>
    <xf numFmtId="0" fontId="2" fillId="0" borderId="34" xfId="4" applyFont="1" applyBorder="1"/>
    <xf numFmtId="0" fontId="2" fillId="0" borderId="36" xfId="4" applyFont="1" applyBorder="1"/>
    <xf numFmtId="0" fontId="2" fillId="0" borderId="37" xfId="4" applyFont="1" applyBorder="1"/>
    <xf numFmtId="0" fontId="2" fillId="0" borderId="38" xfId="4" applyFont="1" applyBorder="1"/>
    <xf numFmtId="0" fontId="10" fillId="0" borderId="0" xfId="60" applyBorder="1"/>
    <xf numFmtId="0" fontId="3" fillId="18" borderId="8" xfId="4" applyFont="1" applyFill="1" applyBorder="1" applyAlignment="1">
      <alignment horizontal="center" wrapText="1"/>
    </xf>
    <xf numFmtId="0" fontId="3" fillId="0" borderId="11" xfId="4" applyFont="1" applyBorder="1"/>
    <xf numFmtId="0" fontId="3" fillId="0" borderId="0" xfId="4" applyFont="1" applyAlignment="1">
      <alignment horizontal="center"/>
    </xf>
    <xf numFmtId="164" fontId="3" fillId="0" borderId="8" xfId="5" applyNumberFormat="1" applyFont="1" applyBorder="1" applyAlignment="1"/>
    <xf numFmtId="164" fontId="2" fillId="0" borderId="8" xfId="4" applyNumberFormat="1" applyFont="1" applyBorder="1" applyAlignment="1">
      <alignment horizontal="center"/>
    </xf>
    <xf numFmtId="164" fontId="2" fillId="0" borderId="8" xfId="5" applyNumberFormat="1" applyFont="1" applyBorder="1" applyAlignment="1"/>
    <xf numFmtId="164" fontId="2" fillId="0" borderId="0" xfId="4" applyNumberFormat="1" applyFont="1" applyAlignment="1">
      <alignment horizontal="center"/>
    </xf>
    <xf numFmtId="164" fontId="2" fillId="0" borderId="0" xfId="5" applyNumberFormat="1" applyFont="1" applyBorder="1" applyAlignment="1"/>
    <xf numFmtId="0" fontId="34" fillId="19" borderId="24" xfId="4" applyFont="1" applyFill="1" applyBorder="1" applyAlignment="1">
      <alignment horizontal="center" vertical="center"/>
    </xf>
    <xf numFmtId="0" fontId="34" fillId="19" borderId="39" xfId="4" applyFont="1" applyFill="1" applyBorder="1" applyAlignment="1">
      <alignment horizontal="center" vertical="center" wrapText="1"/>
    </xf>
    <xf numFmtId="0" fontId="34" fillId="19" borderId="40" xfId="4" applyFont="1" applyFill="1" applyBorder="1" applyAlignment="1">
      <alignment horizontal="center" vertical="center" wrapText="1"/>
    </xf>
    <xf numFmtId="0" fontId="35" fillId="19" borderId="8" xfId="4" applyFont="1" applyFill="1" applyBorder="1" applyAlignment="1">
      <alignment horizontal="center" vertical="center" wrapText="1"/>
    </xf>
    <xf numFmtId="164" fontId="3" fillId="18" borderId="8" xfId="18" applyNumberFormat="1" applyFont="1" applyFill="1" applyBorder="1"/>
    <xf numFmtId="0" fontId="36" fillId="0" borderId="0" xfId="6" applyFont="1" applyBorder="1"/>
    <xf numFmtId="165" fontId="3" fillId="18" borderId="8" xfId="7" applyNumberFormat="1" applyFont="1" applyFill="1" applyBorder="1" applyAlignment="1">
      <alignment horizontal="center"/>
    </xf>
    <xf numFmtId="0" fontId="3" fillId="18" borderId="8" xfId="4" applyFont="1" applyFill="1" applyBorder="1" applyAlignment="1">
      <alignment horizontal="center"/>
    </xf>
    <xf numFmtId="0" fontId="4" fillId="3" borderId="8" xfId="4" applyFont="1" applyFill="1" applyBorder="1"/>
    <xf numFmtId="164" fontId="4" fillId="0" borderId="8" xfId="5" applyNumberFormat="1" applyFont="1" applyBorder="1" applyAlignment="1">
      <alignment horizontal="center"/>
    </xf>
    <xf numFmtId="164" fontId="11" fillId="0" borderId="8" xfId="5" applyNumberFormat="1" applyFont="1" applyBorder="1" applyAlignment="1">
      <alignment horizontal="center"/>
    </xf>
    <xf numFmtId="0" fontId="11" fillId="18" borderId="8" xfId="4" applyFont="1" applyFill="1" applyBorder="1"/>
    <xf numFmtId="164" fontId="11" fillId="18" borderId="8" xfId="5" applyNumberFormat="1" applyFont="1" applyFill="1" applyBorder="1"/>
    <xf numFmtId="0" fontId="3" fillId="0" borderId="8" xfId="4" applyFont="1" applyBorder="1" applyAlignment="1">
      <alignment wrapText="1"/>
    </xf>
    <xf numFmtId="164" fontId="2" fillId="0" borderId="0" xfId="5" applyNumberFormat="1" applyFont="1" applyBorder="1" applyAlignment="1">
      <alignment wrapText="1"/>
    </xf>
    <xf numFmtId="0" fontId="3" fillId="3" borderId="8" xfId="4" applyFont="1" applyFill="1" applyBorder="1"/>
    <xf numFmtId="0" fontId="35" fillId="19" borderId="8" xfId="4" applyFont="1" applyFill="1" applyBorder="1" applyAlignment="1">
      <alignment horizontal="left" vertical="center" wrapText="1"/>
    </xf>
    <xf numFmtId="9" fontId="2" fillId="12" borderId="8" xfId="4" applyNumberFormat="1" applyFont="1" applyFill="1" applyBorder="1" applyAlignment="1">
      <alignment horizontal="left"/>
    </xf>
    <xf numFmtId="0" fontId="2" fillId="0" borderId="10" xfId="4" applyFont="1" applyBorder="1"/>
    <xf numFmtId="9" fontId="2" fillId="0" borderId="8" xfId="4" applyNumberFormat="1" applyFont="1" applyBorder="1" applyAlignment="1">
      <alignment horizontal="left"/>
    </xf>
    <xf numFmtId="0" fontId="2" fillId="2" borderId="10" xfId="4" applyFont="1" applyFill="1" applyBorder="1"/>
    <xf numFmtId="41" fontId="4" fillId="2" borderId="8" xfId="55" applyFont="1" applyFill="1" applyBorder="1"/>
    <xf numFmtId="0" fontId="2" fillId="4" borderId="8" xfId="4" applyFont="1" applyFill="1" applyBorder="1"/>
    <xf numFmtId="9" fontId="2" fillId="4" borderId="8" xfId="4" applyNumberFormat="1" applyFont="1" applyFill="1" applyBorder="1" applyAlignment="1">
      <alignment horizontal="left"/>
    </xf>
    <xf numFmtId="9" fontId="2" fillId="2" borderId="8" xfId="4" applyNumberFormat="1" applyFont="1" applyFill="1" applyBorder="1" applyAlignment="1">
      <alignment horizontal="left"/>
    </xf>
    <xf numFmtId="0" fontId="3" fillId="5" borderId="11" xfId="4" applyFont="1" applyFill="1" applyBorder="1"/>
    <xf numFmtId="164" fontId="4" fillId="0" borderId="8" xfId="5" applyNumberFormat="1" applyFont="1" applyBorder="1"/>
    <xf numFmtId="164" fontId="2" fillId="0" borderId="8" xfId="5" applyNumberFormat="1" applyFont="1" applyBorder="1"/>
    <xf numFmtId="164" fontId="3" fillId="18" borderId="8" xfId="5" applyNumberFormat="1" applyFont="1" applyFill="1" applyBorder="1" applyAlignment="1">
      <alignment wrapText="1"/>
    </xf>
    <xf numFmtId="164" fontId="3" fillId="3" borderId="8" xfId="5" applyNumberFormat="1" applyFont="1" applyFill="1" applyBorder="1"/>
    <xf numFmtId="0" fontId="3" fillId="3" borderId="8" xfId="4" applyFont="1" applyFill="1" applyBorder="1" applyAlignment="1">
      <alignment wrapText="1"/>
    </xf>
    <xf numFmtId="0" fontId="4" fillId="2" borderId="8" xfId="4" applyFont="1" applyFill="1" applyBorder="1" applyAlignment="1">
      <alignment wrapText="1"/>
    </xf>
    <xf numFmtId="164" fontId="4" fillId="2" borderId="8" xfId="5" applyNumberFormat="1" applyFont="1" applyFill="1" applyBorder="1"/>
    <xf numFmtId="164" fontId="3" fillId="3" borderId="8" xfId="5" applyNumberFormat="1" applyFont="1" applyFill="1" applyBorder="1" applyAlignment="1">
      <alignment wrapText="1"/>
    </xf>
    <xf numFmtId="0" fontId="3" fillId="4" borderId="11" xfId="4" applyFont="1" applyFill="1" applyBorder="1" applyAlignment="1">
      <alignment horizontal="left"/>
    </xf>
    <xf numFmtId="165" fontId="3" fillId="18" borderId="8" xfId="4" applyNumberFormat="1" applyFont="1" applyFill="1" applyBorder="1"/>
    <xf numFmtId="0" fontId="3" fillId="4" borderId="8" xfId="4" applyFont="1" applyFill="1" applyBorder="1" applyAlignment="1">
      <alignment horizontal="center"/>
    </xf>
    <xf numFmtId="0" fontId="3" fillId="4" borderId="8" xfId="4" applyFont="1" applyFill="1" applyBorder="1" applyAlignment="1">
      <alignment wrapText="1"/>
    </xf>
    <xf numFmtId="165" fontId="3" fillId="4" borderId="8" xfId="7" applyNumberFormat="1" applyFont="1" applyFill="1" applyBorder="1" applyAlignment="1">
      <alignment wrapText="1"/>
    </xf>
    <xf numFmtId="164" fontId="2" fillId="0" borderId="0" xfId="5" applyNumberFormat="1" applyFont="1" applyAlignment="1">
      <alignment horizontal="center"/>
    </xf>
    <xf numFmtId="0" fontId="3" fillId="4" borderId="8" xfId="4" applyFont="1" applyFill="1" applyBorder="1" applyAlignment="1">
      <alignment horizontal="left" vertical="center"/>
    </xf>
    <xf numFmtId="0" fontId="3" fillId="4" borderId="8" xfId="4" applyFont="1" applyFill="1" applyBorder="1" applyAlignment="1">
      <alignment horizontal="center" vertical="center"/>
    </xf>
    <xf numFmtId="165" fontId="2" fillId="0" borderId="8" xfId="7" applyNumberFormat="1" applyFont="1" applyBorder="1"/>
    <xf numFmtId="165" fontId="2" fillId="2" borderId="8" xfId="1" applyNumberFormat="1" applyFont="1" applyFill="1" applyBorder="1"/>
    <xf numFmtId="165" fontId="2" fillId="0" borderId="8" xfId="1" applyNumberFormat="1" applyFont="1" applyBorder="1" applyAlignment="1"/>
    <xf numFmtId="165" fontId="2" fillId="2" borderId="8" xfId="7" applyNumberFormat="1" applyFont="1" applyFill="1" applyBorder="1"/>
    <xf numFmtId="0" fontId="3" fillId="3" borderId="8" xfId="4" applyFont="1" applyFill="1" applyBorder="1" applyAlignment="1">
      <alignment horizontal="left" wrapText="1"/>
    </xf>
    <xf numFmtId="0" fontId="2" fillId="3" borderId="8" xfId="4" applyFont="1" applyFill="1" applyBorder="1" applyAlignment="1">
      <alignment horizontal="left" wrapText="1"/>
    </xf>
    <xf numFmtId="0" fontId="3" fillId="4" borderId="24" xfId="4" applyFont="1" applyFill="1" applyBorder="1"/>
    <xf numFmtId="164" fontId="3" fillId="4" borderId="8" xfId="4" applyNumberFormat="1" applyFont="1" applyFill="1" applyBorder="1"/>
    <xf numFmtId="0" fontId="3" fillId="4" borderId="11" xfId="4" applyFont="1" applyFill="1" applyBorder="1"/>
    <xf numFmtId="164" fontId="3" fillId="4" borderId="8" xfId="5" applyNumberFormat="1" applyFont="1" applyFill="1" applyBorder="1"/>
    <xf numFmtId="0" fontId="3" fillId="3" borderId="11" xfId="4" applyFont="1" applyFill="1" applyBorder="1"/>
    <xf numFmtId="164" fontId="2" fillId="0" borderId="8" xfId="5" applyNumberFormat="1" applyFont="1" applyBorder="1" applyAlignment="1">
      <alignment wrapText="1"/>
    </xf>
    <xf numFmtId="0" fontId="2" fillId="0" borderId="0" xfId="4" applyFont="1" applyAlignment="1">
      <alignment horizontal="justify" wrapText="1"/>
    </xf>
    <xf numFmtId="164" fontId="2" fillId="2" borderId="8" xfId="5" applyNumberFormat="1" applyFont="1" applyFill="1" applyBorder="1"/>
    <xf numFmtId="0" fontId="2" fillId="0" borderId="0" xfId="4" applyFont="1" applyAlignment="1">
      <alignment horizontal="justify" vertical="justify" wrapText="1"/>
    </xf>
    <xf numFmtId="0" fontId="3" fillId="3" borderId="8" xfId="4" applyFont="1" applyFill="1" applyBorder="1" applyAlignment="1">
      <alignment horizontal="center"/>
    </xf>
    <xf numFmtId="0" fontId="3" fillId="5" borderId="8" xfId="4" applyFont="1" applyFill="1" applyBorder="1"/>
    <xf numFmtId="164" fontId="3" fillId="5" borderId="8" xfId="5" applyNumberFormat="1" applyFont="1" applyFill="1" applyBorder="1"/>
    <xf numFmtId="164" fontId="3" fillId="2" borderId="0" xfId="5" applyNumberFormat="1" applyFont="1" applyFill="1" applyBorder="1"/>
    <xf numFmtId="164" fontId="2" fillId="0" borderId="8" xfId="4" applyNumberFormat="1" applyFont="1" applyBorder="1"/>
    <xf numFmtId="0" fontId="3" fillId="5" borderId="8" xfId="4" applyFont="1" applyFill="1" applyBorder="1" applyAlignment="1">
      <alignment horizontal="center"/>
    </xf>
    <xf numFmtId="164" fontId="12" fillId="0" borderId="0" xfId="5" applyNumberFormat="1" applyFont="1" applyBorder="1" applyAlignment="1">
      <alignment vertical="center" wrapText="1"/>
    </xf>
    <xf numFmtId="165" fontId="12" fillId="0" borderId="0" xfId="7" applyNumberFormat="1" applyFont="1" applyBorder="1" applyAlignment="1">
      <alignment vertical="center"/>
    </xf>
    <xf numFmtId="0" fontId="12" fillId="0" borderId="0" xfId="4" applyFont="1" applyAlignment="1">
      <alignment horizontal="justify" wrapText="1"/>
    </xf>
    <xf numFmtId="0" fontId="12" fillId="0" borderId="0" xfId="4" applyFont="1" applyAlignment="1">
      <alignment wrapText="1"/>
    </xf>
    <xf numFmtId="0" fontId="3" fillId="2" borderId="9" xfId="4" applyFont="1" applyFill="1" applyBorder="1"/>
    <xf numFmtId="164" fontId="3" fillId="5" borderId="8" xfId="4" applyNumberFormat="1" applyFont="1" applyFill="1" applyBorder="1"/>
    <xf numFmtId="0" fontId="3" fillId="5" borderId="41" xfId="4" applyFont="1" applyFill="1" applyBorder="1"/>
    <xf numFmtId="0" fontId="11" fillId="3" borderId="8" xfId="4" applyFont="1" applyFill="1" applyBorder="1"/>
    <xf numFmtId="164" fontId="11" fillId="3" borderId="8" xfId="5" applyNumberFormat="1" applyFont="1" applyFill="1" applyBorder="1"/>
    <xf numFmtId="0" fontId="3" fillId="5" borderId="8" xfId="3" applyFont="1" applyFill="1" applyBorder="1" applyAlignment="1">
      <alignment horizontal="left"/>
    </xf>
    <xf numFmtId="0" fontId="3" fillId="5" borderId="8" xfId="3" applyFont="1" applyFill="1" applyBorder="1" applyAlignment="1">
      <alignment horizontal="center"/>
    </xf>
    <xf numFmtId="164" fontId="2" fillId="0" borderId="0" xfId="9" applyNumberFormat="1" applyFont="1" applyBorder="1"/>
    <xf numFmtId="164" fontId="4" fillId="0" borderId="8" xfId="5" applyNumberFormat="1" applyFont="1" applyBorder="1" applyAlignment="1">
      <alignment wrapText="1"/>
    </xf>
    <xf numFmtId="164" fontId="4" fillId="0" borderId="0" xfId="5" applyNumberFormat="1" applyFont="1" applyBorder="1" applyAlignment="1">
      <alignment wrapText="1"/>
    </xf>
    <xf numFmtId="164" fontId="4" fillId="0" borderId="0" xfId="5" applyNumberFormat="1" applyFont="1" applyBorder="1"/>
    <xf numFmtId="0" fontId="2" fillId="2" borderId="0" xfId="13" applyFont="1" applyFill="1"/>
    <xf numFmtId="0" fontId="3" fillId="3" borderId="8" xfId="3" applyFont="1" applyFill="1" applyBorder="1"/>
    <xf numFmtId="164" fontId="2" fillId="0" borderId="8" xfId="48" applyNumberFormat="1" applyFont="1" applyBorder="1"/>
    <xf numFmtId="0" fontId="37" fillId="0" borderId="0" xfId="4" applyFont="1" applyAlignment="1">
      <alignment wrapText="1"/>
    </xf>
    <xf numFmtId="164" fontId="2" fillId="0" borderId="0" xfId="48" applyNumberFormat="1" applyFont="1" applyBorder="1"/>
    <xf numFmtId="165" fontId="2" fillId="0" borderId="8" xfId="4" applyNumberFormat="1" applyFont="1" applyBorder="1"/>
    <xf numFmtId="41" fontId="2" fillId="0" borderId="8" xfId="47" applyFont="1" applyBorder="1"/>
    <xf numFmtId="0" fontId="12" fillId="0" borderId="0" xfId="4" applyFont="1"/>
    <xf numFmtId="41" fontId="2" fillId="0" borderId="0" xfId="47" applyFont="1" applyBorder="1"/>
    <xf numFmtId="0" fontId="2" fillId="0" borderId="0" xfId="13" applyFont="1"/>
    <xf numFmtId="0" fontId="12" fillId="0" borderId="8" xfId="4" applyFont="1" applyBorder="1"/>
    <xf numFmtId="0" fontId="38" fillId="0" borderId="0" xfId="0" applyFont="1"/>
    <xf numFmtId="0" fontId="38" fillId="0" borderId="0" xfId="0" applyFont="1" applyAlignment="1">
      <alignment horizontal="center"/>
    </xf>
    <xf numFmtId="165" fontId="3" fillId="5" borderId="8" xfId="1" applyNumberFormat="1" applyFont="1" applyFill="1" applyBorder="1" applyAlignment="1">
      <alignment horizontal="left"/>
    </xf>
    <xf numFmtId="167" fontId="2" fillId="0" borderId="8" xfId="5" applyNumberFormat="1" applyFont="1" applyBorder="1"/>
    <xf numFmtId="9" fontId="3" fillId="5" borderId="8" xfId="54" applyFont="1" applyFill="1" applyBorder="1" applyAlignment="1">
      <alignment horizontal="left"/>
    </xf>
    <xf numFmtId="164" fontId="3" fillId="5" borderId="8" xfId="4" applyNumberFormat="1" applyFont="1" applyFill="1" applyBorder="1" applyAlignment="1">
      <alignment horizontal="left"/>
    </xf>
    <xf numFmtId="41" fontId="2" fillId="0" borderId="8" xfId="55" applyFont="1" applyBorder="1"/>
    <xf numFmtId="0" fontId="3" fillId="5" borderId="8" xfId="4" applyFont="1" applyFill="1" applyBorder="1" applyAlignment="1">
      <alignment horizontal="left" wrapText="1"/>
    </xf>
    <xf numFmtId="0" fontId="2" fillId="0" borderId="8" xfId="3" applyFont="1" applyBorder="1" applyAlignment="1">
      <alignment wrapText="1"/>
    </xf>
    <xf numFmtId="0" fontId="2" fillId="0" borderId="8" xfId="3" applyFont="1" applyBorder="1"/>
    <xf numFmtId="0" fontId="3" fillId="5" borderId="8" xfId="3" applyFont="1" applyFill="1" applyBorder="1" applyAlignment="1">
      <alignment horizontal="center" vertical="center" wrapText="1"/>
    </xf>
    <xf numFmtId="0" fontId="2" fillId="0" borderId="8" xfId="3" applyFont="1" applyBorder="1" applyAlignment="1">
      <alignment horizontal="left" wrapText="1"/>
    </xf>
    <xf numFmtId="164" fontId="2" fillId="0" borderId="8" xfId="9" applyNumberFormat="1" applyFont="1" applyBorder="1" applyAlignment="1">
      <alignment horizontal="center"/>
    </xf>
    <xf numFmtId="164" fontId="2" fillId="0" borderId="8" xfId="3" applyNumberFormat="1" applyFont="1" applyBorder="1" applyAlignment="1">
      <alignment horizontal="center"/>
    </xf>
    <xf numFmtId="9" fontId="2" fillId="0" borderId="8" xfId="3" applyNumberFormat="1" applyFont="1" applyBorder="1"/>
    <xf numFmtId="164" fontId="3" fillId="4" borderId="8" xfId="18" applyNumberFormat="1" applyFont="1" applyFill="1" applyBorder="1" applyAlignment="1">
      <alignment horizontal="center" vertical="center" wrapText="1"/>
    </xf>
    <xf numFmtId="0" fontId="2" fillId="0" borderId="8" xfId="3" applyFont="1" applyBorder="1" applyAlignment="1">
      <alignment horizontal="left"/>
    </xf>
    <xf numFmtId="164" fontId="2" fillId="0" borderId="8" xfId="3" applyNumberFormat="1" applyFont="1" applyBorder="1"/>
    <xf numFmtId="164" fontId="2" fillId="0" borderId="0" xfId="9" applyNumberFormat="1" applyFont="1" applyBorder="1" applyAlignment="1">
      <alignment horizontal="center"/>
    </xf>
    <xf numFmtId="164" fontId="2" fillId="0" borderId="0" xfId="3" applyNumberFormat="1" applyFont="1" applyAlignment="1">
      <alignment horizontal="center"/>
    </xf>
    <xf numFmtId="9" fontId="2" fillId="0" borderId="0" xfId="3" applyNumberFormat="1" applyFont="1"/>
    <xf numFmtId="164" fontId="2" fillId="0" borderId="0" xfId="3" applyNumberFormat="1" applyFont="1"/>
    <xf numFmtId="0" fontId="2" fillId="3" borderId="7" xfId="3" applyFont="1" applyFill="1" applyBorder="1" applyAlignment="1">
      <alignment horizontal="left" wrapText="1"/>
    </xf>
    <xf numFmtId="164" fontId="2" fillId="3" borderId="7" xfId="18" applyNumberFormat="1" applyFont="1" applyFill="1" applyBorder="1" applyAlignment="1">
      <alignment horizontal="center" wrapText="1"/>
    </xf>
    <xf numFmtId="164" fontId="2" fillId="3" borderId="7" xfId="9" applyNumberFormat="1" applyFont="1" applyFill="1" applyBorder="1" applyAlignment="1">
      <alignment horizontal="center"/>
    </xf>
    <xf numFmtId="0" fontId="2" fillId="20" borderId="8" xfId="3" applyFont="1" applyFill="1" applyBorder="1" applyAlignment="1">
      <alignment horizontal="left" wrapText="1"/>
    </xf>
    <xf numFmtId="164" fontId="2" fillId="20" borderId="8" xfId="18" applyNumberFormat="1" applyFont="1" applyFill="1" applyBorder="1" applyAlignment="1">
      <alignment horizontal="center" wrapText="1"/>
    </xf>
    <xf numFmtId="164" fontId="2" fillId="20" borderId="8" xfId="9" applyNumberFormat="1" applyFont="1" applyFill="1" applyBorder="1" applyAlignment="1">
      <alignment horizontal="center"/>
    </xf>
    <xf numFmtId="0" fontId="2" fillId="4" borderId="8" xfId="3" applyFont="1" applyFill="1" applyBorder="1" applyAlignment="1">
      <alignment horizontal="left" wrapText="1"/>
    </xf>
    <xf numFmtId="9" fontId="2" fillId="4" borderId="8" xfId="54" applyFont="1" applyFill="1" applyBorder="1" applyAlignment="1">
      <alignment horizontal="center" wrapText="1"/>
    </xf>
    <xf numFmtId="166" fontId="2" fillId="4" borderId="8" xfId="54" applyNumberFormat="1" applyFont="1" applyFill="1" applyBorder="1" applyAlignment="1">
      <alignment horizontal="center" wrapText="1"/>
    </xf>
    <xf numFmtId="164" fontId="2" fillId="0" borderId="8" xfId="18" applyNumberFormat="1" applyFont="1" applyBorder="1" applyAlignment="1">
      <alignment horizontal="center" wrapText="1"/>
    </xf>
    <xf numFmtId="9" fontId="2" fillId="0" borderId="8" xfId="54" applyFont="1" applyBorder="1" applyAlignment="1">
      <alignment horizontal="center" wrapText="1"/>
    </xf>
    <xf numFmtId="9" fontId="2" fillId="0" borderId="8" xfId="54" applyFont="1" applyBorder="1" applyAlignment="1">
      <alignment horizontal="center"/>
    </xf>
    <xf numFmtId="166" fontId="2" fillId="0" borderId="8" xfId="54" applyNumberFormat="1" applyFont="1" applyBorder="1" applyAlignment="1">
      <alignment horizontal="center" wrapText="1"/>
    </xf>
    <xf numFmtId="164" fontId="3" fillId="5" borderId="10" xfId="18" applyNumberFormat="1" applyFont="1" applyFill="1" applyBorder="1" applyAlignment="1">
      <alignment horizontal="right"/>
    </xf>
    <xf numFmtId="9" fontId="2" fillId="0" borderId="10" xfId="54" applyFont="1" applyBorder="1" applyAlignment="1">
      <alignment horizontal="center"/>
    </xf>
    <xf numFmtId="164" fontId="3" fillId="5" borderId="11" xfId="18" applyNumberFormat="1" applyFont="1" applyFill="1" applyBorder="1" applyAlignment="1">
      <alignment horizontal="right"/>
    </xf>
    <xf numFmtId="164" fontId="3" fillId="15" borderId="8" xfId="18" applyNumberFormat="1" applyFont="1" applyFill="1" applyBorder="1" applyAlignment="1">
      <alignment horizontal="left" indent="3"/>
    </xf>
    <xf numFmtId="164" fontId="2" fillId="0" borderId="10" xfId="9" applyNumberFormat="1" applyFont="1" applyBorder="1" applyAlignment="1">
      <alignment horizontal="center"/>
    </xf>
    <xf numFmtId="164" fontId="3" fillId="14" borderId="8" xfId="18" applyNumberFormat="1" applyFont="1" applyFill="1" applyBorder="1" applyAlignment="1">
      <alignment horizontal="left" indent="3"/>
    </xf>
    <xf numFmtId="0" fontId="2" fillId="0" borderId="7" xfId="3" applyFont="1" applyBorder="1" applyAlignment="1">
      <alignment horizontal="left" wrapText="1"/>
    </xf>
    <xf numFmtId="164" fontId="2" fillId="0" borderId="0" xfId="18" applyNumberFormat="1" applyFont="1" applyBorder="1" applyAlignment="1">
      <alignment horizontal="center" wrapText="1"/>
    </xf>
    <xf numFmtId="9" fontId="2" fillId="0" borderId="10" xfId="54" applyFont="1" applyBorder="1" applyAlignment="1">
      <alignment horizontal="center" wrapText="1"/>
    </xf>
    <xf numFmtId="164" fontId="2" fillId="0" borderId="7" xfId="5" applyNumberFormat="1" applyFont="1" applyBorder="1"/>
    <xf numFmtId="164" fontId="3" fillId="3" borderId="8" xfId="48" applyNumberFormat="1" applyFont="1" applyFill="1" applyBorder="1"/>
    <xf numFmtId="0" fontId="12" fillId="2" borderId="0" xfId="4" applyFont="1" applyFill="1"/>
    <xf numFmtId="164" fontId="2" fillId="0" borderId="0" xfId="18" applyNumberFormat="1" applyFont="1" applyBorder="1" applyAlignment="1">
      <alignment horizontal="left" wrapText="1"/>
    </xf>
    <xf numFmtId="164" fontId="2" fillId="0" borderId="8" xfId="18" applyNumberFormat="1" applyFont="1" applyBorder="1" applyAlignment="1">
      <alignment horizontal="center"/>
    </xf>
    <xf numFmtId="164" fontId="2" fillId="0" borderId="8" xfId="3" applyNumberFormat="1" applyFont="1" applyBorder="1" applyAlignment="1">
      <alignment horizontal="right"/>
    </xf>
    <xf numFmtId="41" fontId="2" fillId="0" borderId="0" xfId="55" applyFont="1" applyBorder="1"/>
    <xf numFmtId="0" fontId="3" fillId="3" borderId="11" xfId="4" applyFont="1" applyFill="1" applyBorder="1" applyAlignment="1">
      <alignment horizontal="left" wrapText="1"/>
    </xf>
    <xf numFmtId="164" fontId="2" fillId="0" borderId="8" xfId="9" applyNumberFormat="1" applyFont="1" applyBorder="1" applyAlignment="1">
      <alignment horizontal="left"/>
    </xf>
    <xf numFmtId="9" fontId="2" fillId="0" borderId="8" xfId="54" applyFont="1" applyBorder="1"/>
    <xf numFmtId="165" fontId="2" fillId="0" borderId="0" xfId="3" applyNumberFormat="1" applyFont="1"/>
    <xf numFmtId="10" fontId="2" fillId="0" borderId="0" xfId="54" applyNumberFormat="1" applyFont="1" applyAlignment="1">
      <alignment horizontal="center"/>
    </xf>
    <xf numFmtId="9" fontId="2" fillId="0" borderId="0" xfId="54" applyFont="1"/>
    <xf numFmtId="164" fontId="3" fillId="17" borderId="8" xfId="18" applyNumberFormat="1" applyFont="1" applyFill="1" applyBorder="1" applyAlignment="1">
      <alignment horizontal="left" indent="3"/>
    </xf>
    <xf numFmtId="0" fontId="3" fillId="21" borderId="8" xfId="4" applyFont="1" applyFill="1" applyBorder="1" applyAlignment="1">
      <alignment horizontal="left"/>
    </xf>
    <xf numFmtId="164" fontId="3" fillId="21" borderId="8" xfId="18" applyNumberFormat="1" applyFont="1" applyFill="1" applyBorder="1" applyAlignment="1">
      <alignment horizontal="left" indent="3"/>
    </xf>
    <xf numFmtId="0" fontId="3" fillId="4" borderId="8" xfId="3" applyFont="1" applyFill="1" applyBorder="1" applyAlignment="1">
      <alignment horizontal="left" vertical="center" wrapText="1"/>
    </xf>
    <xf numFmtId="0" fontId="3" fillId="4" borderId="8" xfId="3" applyFont="1" applyFill="1" applyBorder="1" applyAlignment="1">
      <alignment horizontal="center" vertical="center" wrapText="1"/>
    </xf>
    <xf numFmtId="0" fontId="0" fillId="0" borderId="0" xfId="0" applyAlignment="1">
      <alignment vertical="center"/>
    </xf>
    <xf numFmtId="164" fontId="2" fillId="0" borderId="8" xfId="9" applyNumberFormat="1" applyFont="1" applyBorder="1" applyAlignment="1">
      <alignment horizontal="left" wrapText="1"/>
    </xf>
    <xf numFmtId="9" fontId="2" fillId="0" borderId="8" xfId="54" applyFont="1" applyBorder="1" applyAlignment="1">
      <alignment horizontal="center" vertical="center"/>
    </xf>
    <xf numFmtId="168" fontId="2" fillId="0" borderId="8" xfId="55" applyNumberFormat="1" applyFont="1" applyBorder="1" applyAlignment="1">
      <alignment horizontal="center" vertical="center"/>
    </xf>
    <xf numFmtId="41" fontId="2" fillId="0" borderId="8" xfId="55" applyFont="1" applyBorder="1" applyAlignment="1">
      <alignment horizontal="center" vertical="center"/>
    </xf>
    <xf numFmtId="164" fontId="3" fillId="15" borderId="8" xfId="18" applyNumberFormat="1" applyFont="1" applyFill="1" applyBorder="1" applyAlignment="1">
      <alignment horizontal="center" vertical="center"/>
    </xf>
    <xf numFmtId="169" fontId="2" fillId="5" borderId="8" xfId="0" applyNumberFormat="1" applyFont="1" applyFill="1" applyBorder="1" applyAlignment="1">
      <alignment horizontal="center" vertical="center"/>
    </xf>
    <xf numFmtId="9" fontId="0" fillId="0" borderId="0" xfId="0" applyNumberFormat="1" applyAlignment="1">
      <alignment vertical="center"/>
    </xf>
    <xf numFmtId="164" fontId="2" fillId="0" borderId="0" xfId="9" applyNumberFormat="1" applyFont="1" applyBorder="1" applyAlignment="1">
      <alignment horizontal="left"/>
    </xf>
    <xf numFmtId="9" fontId="2" fillId="0" borderId="0" xfId="54" applyFont="1" applyBorder="1" applyAlignment="1">
      <alignment horizontal="center" vertical="center"/>
    </xf>
    <xf numFmtId="168" fontId="2" fillId="0" borderId="0" xfId="55" applyNumberFormat="1" applyFont="1" applyBorder="1" applyAlignment="1">
      <alignment horizontal="center" vertical="center"/>
    </xf>
    <xf numFmtId="41" fontId="2" fillId="0" borderId="0" xfId="55" applyFont="1" applyBorder="1" applyAlignment="1">
      <alignment horizontal="center" vertical="center"/>
    </xf>
    <xf numFmtId="0" fontId="2" fillId="0" borderId="0" xfId="0" applyFont="1"/>
    <xf numFmtId="0" fontId="2" fillId="2" borderId="8" xfId="0" applyFont="1" applyFill="1" applyBorder="1"/>
    <xf numFmtId="41" fontId="0" fillId="0" borderId="0" xfId="0" applyNumberFormat="1"/>
    <xf numFmtId="3" fontId="0" fillId="0" borderId="0" xfId="0" applyNumberFormat="1"/>
    <xf numFmtId="41" fontId="0" fillId="0" borderId="0" xfId="55" applyFont="1"/>
    <xf numFmtId="0" fontId="2" fillId="2" borderId="11" xfId="0" applyFont="1" applyFill="1" applyBorder="1"/>
    <xf numFmtId="164" fontId="14" fillId="0" borderId="8" xfId="3" applyNumberFormat="1" applyFont="1" applyBorder="1"/>
    <xf numFmtId="164" fontId="3" fillId="3" borderId="8" xfId="18" applyNumberFormat="1" applyFont="1" applyFill="1" applyBorder="1" applyAlignment="1">
      <alignment horizontal="left" vertical="center" wrapText="1"/>
    </xf>
    <xf numFmtId="164" fontId="3" fillId="3" borderId="8" xfId="18" applyNumberFormat="1" applyFont="1" applyFill="1" applyBorder="1" applyAlignment="1">
      <alignment horizontal="center" vertical="center" wrapText="1"/>
    </xf>
    <xf numFmtId="166" fontId="3" fillId="3" borderId="8" xfId="54" applyNumberFormat="1" applyFont="1" applyFill="1" applyBorder="1" applyAlignment="1">
      <alignment horizontal="center" vertical="center" wrapText="1"/>
    </xf>
    <xf numFmtId="0" fontId="3" fillId="2" borderId="8" xfId="4" applyFont="1" applyFill="1" applyBorder="1"/>
    <xf numFmtId="164" fontId="3" fillId="2" borderId="0" xfId="4" applyNumberFormat="1" applyFont="1" applyFill="1"/>
    <xf numFmtId="164" fontId="3" fillId="3" borderId="8" xfId="18" applyNumberFormat="1" applyFont="1" applyFill="1" applyBorder="1" applyAlignment="1">
      <alignment horizontal="left" wrapText="1"/>
    </xf>
    <xf numFmtId="164" fontId="2" fillId="0" borderId="8" xfId="18" applyNumberFormat="1" applyFont="1" applyBorder="1" applyAlignment="1">
      <alignment horizontal="left" wrapText="1"/>
    </xf>
    <xf numFmtId="164" fontId="2" fillId="0" borderId="10" xfId="18" applyNumberFormat="1" applyFont="1" applyBorder="1" applyAlignment="1">
      <alignment horizontal="center"/>
    </xf>
    <xf numFmtId="164" fontId="0" fillId="0" borderId="0" xfId="18" applyNumberFormat="1" applyFont="1"/>
    <xf numFmtId="9" fontId="2" fillId="0" borderId="0" xfId="54" applyFont="1" applyBorder="1" applyAlignment="1">
      <alignment horizontal="center"/>
    </xf>
    <xf numFmtId="9" fontId="2" fillId="0" borderId="0" xfId="54" applyFont="1" applyBorder="1" applyAlignment="1">
      <alignment horizontal="center" wrapText="1"/>
    </xf>
    <xf numFmtId="164" fontId="4" fillId="0" borderId="0" xfId="18" applyNumberFormat="1" applyFont="1" applyBorder="1"/>
    <xf numFmtId="166" fontId="3" fillId="4" borderId="8" xfId="54" applyNumberFormat="1" applyFont="1" applyFill="1" applyBorder="1" applyAlignment="1">
      <alignment horizontal="right" vertical="center" wrapText="1"/>
    </xf>
    <xf numFmtId="166" fontId="3" fillId="14" borderId="11" xfId="54" applyNumberFormat="1" applyFont="1" applyFill="1" applyBorder="1" applyAlignment="1">
      <alignment horizontal="right" vertical="center" wrapText="1"/>
    </xf>
    <xf numFmtId="166" fontId="3" fillId="2" borderId="11" xfId="54" applyNumberFormat="1" applyFont="1" applyFill="1" applyBorder="1" applyAlignment="1">
      <alignment horizontal="center" vertical="center" wrapText="1"/>
    </xf>
    <xf numFmtId="9" fontId="2" fillId="0" borderId="8" xfId="54" applyFont="1" applyBorder="1" applyAlignment="1">
      <alignment horizontal="right" wrapText="1"/>
    </xf>
    <xf numFmtId="0" fontId="2" fillId="0" borderId="8" xfId="3" applyFont="1" applyBorder="1" applyAlignment="1">
      <alignment vertical="center"/>
    </xf>
    <xf numFmtId="0" fontId="3" fillId="3" borderId="8" xfId="3" applyFont="1" applyFill="1" applyBorder="1" applyAlignment="1">
      <alignment horizontal="center" vertical="center" wrapText="1"/>
    </xf>
    <xf numFmtId="166" fontId="2" fillId="0" borderId="8" xfId="3" applyNumberFormat="1" applyFont="1" applyBorder="1"/>
    <xf numFmtId="0" fontId="3" fillId="3" borderId="11" xfId="3" applyFont="1" applyFill="1" applyBorder="1"/>
    <xf numFmtId="0" fontId="2" fillId="0" borderId="8" xfId="13" applyFont="1" applyBorder="1"/>
    <xf numFmtId="3" fontId="2" fillId="0" borderId="8" xfId="13" applyNumberFormat="1" applyFont="1" applyBorder="1"/>
    <xf numFmtId="164" fontId="2" fillId="2" borderId="0" xfId="4" applyNumberFormat="1" applyFont="1" applyFill="1"/>
    <xf numFmtId="0" fontId="2" fillId="0" borderId="11" xfId="13" applyFont="1" applyBorder="1"/>
    <xf numFmtId="3" fontId="4" fillId="0" borderId="8" xfId="13" applyNumberFormat="1" applyFont="1" applyBorder="1"/>
    <xf numFmtId="0" fontId="2" fillId="2" borderId="8" xfId="13" applyFont="1" applyFill="1" applyBorder="1"/>
    <xf numFmtId="3" fontId="2" fillId="2" borderId="8" xfId="13" applyNumberFormat="1" applyFont="1" applyFill="1" applyBorder="1"/>
    <xf numFmtId="9" fontId="3" fillId="3" borderId="8" xfId="4" applyNumberFormat="1" applyFont="1" applyFill="1" applyBorder="1"/>
    <xf numFmtId="3" fontId="14" fillId="2" borderId="0" xfId="13" applyNumberFormat="1" applyFont="1" applyFill="1"/>
    <xf numFmtId="165" fontId="2" fillId="0" borderId="8" xfId="13" applyNumberFormat="1" applyFont="1" applyBorder="1"/>
    <xf numFmtId="164" fontId="4" fillId="2" borderId="8" xfId="18" applyNumberFormat="1" applyFont="1" applyFill="1" applyBorder="1"/>
    <xf numFmtId="164" fontId="4" fillId="0" borderId="8" xfId="13" applyNumberFormat="1" applyFont="1" applyBorder="1"/>
    <xf numFmtId="0" fontId="3" fillId="2" borderId="8" xfId="4" applyFont="1" applyFill="1" applyBorder="1" applyAlignment="1">
      <alignment horizontal="left" wrapText="1"/>
    </xf>
    <xf numFmtId="0" fontId="3" fillId="3" borderId="8" xfId="3" applyFont="1" applyFill="1" applyBorder="1" applyAlignment="1">
      <alignment horizontal="left" vertical="center" wrapText="1"/>
    </xf>
    <xf numFmtId="0" fontId="3" fillId="3" borderId="8" xfId="4" applyFont="1" applyFill="1" applyBorder="1" applyAlignment="1">
      <alignment wrapText="1"/>
    </xf>
    <xf numFmtId="0" fontId="2" fillId="0" borderId="8" xfId="4" applyFont="1" applyBorder="1" applyAlignment="1">
      <alignment wrapText="1"/>
    </xf>
    <xf numFmtId="0" fontId="2" fillId="0" borderId="0" xfId="3" applyFont="1" applyAlignment="1">
      <alignment wrapText="1"/>
    </xf>
    <xf numFmtId="0" fontId="3" fillId="2" borderId="0" xfId="4" applyFont="1" applyFill="1" applyAlignment="1">
      <alignment horizontal="left" wrapText="1"/>
    </xf>
    <xf numFmtId="0" fontId="2" fillId="0" borderId="0" xfId="3" applyFont="1" applyBorder="1" applyAlignment="1">
      <alignment horizontal="justify" wrapText="1"/>
    </xf>
    <xf numFmtId="0" fontId="0" fillId="0" borderId="0" xfId="0" applyBorder="1" applyAlignment="1">
      <alignment horizontal="justify" wrapText="1"/>
    </xf>
    <xf numFmtId="0" fontId="5" fillId="2" borderId="26" xfId="50" applyFont="1" applyFill="1" applyBorder="1" applyAlignment="1">
      <alignment horizontal="justify" vertical="center" wrapText="1"/>
    </xf>
    <xf numFmtId="0" fontId="5" fillId="2" borderId="26" xfId="49" applyFont="1" applyFill="1" applyBorder="1" applyAlignment="1">
      <alignment horizontal="justify" vertical="center" wrapText="1"/>
    </xf>
    <xf numFmtId="0" fontId="5" fillId="2" borderId="26" xfId="49" applyFont="1" applyFill="1" applyBorder="1" applyAlignment="1">
      <alignment horizontal="left" vertical="center" wrapText="1"/>
    </xf>
    <xf numFmtId="0" fontId="5" fillId="2" borderId="26" xfId="0" applyFont="1" applyFill="1" applyBorder="1" applyAlignment="1">
      <alignment horizontal="justify" vertical="center" wrapText="1"/>
    </xf>
    <xf numFmtId="0" fontId="5" fillId="2" borderId="0" xfId="0" applyFont="1" applyFill="1"/>
    <xf numFmtId="0" fontId="12" fillId="0" borderId="0" xfId="3" applyFont="1" applyBorder="1" applyAlignment="1">
      <alignment horizontal="justify" wrapText="1"/>
    </xf>
    <xf numFmtId="0" fontId="40" fillId="0" borderId="0" xfId="0" applyFont="1" applyBorder="1" applyAlignment="1">
      <alignment horizontal="justify" wrapText="1"/>
    </xf>
    <xf numFmtId="0" fontId="5" fillId="2" borderId="42" xfId="49" applyFont="1" applyFill="1" applyBorder="1" applyAlignment="1">
      <alignment horizontal="justify" vertical="center" wrapText="1"/>
    </xf>
    <xf numFmtId="0" fontId="5" fillId="2" borderId="0" xfId="50" applyFont="1" applyFill="1" applyBorder="1" applyAlignment="1">
      <alignment horizontal="left"/>
    </xf>
    <xf numFmtId="0" fontId="5" fillId="2" borderId="0" xfId="50" applyFont="1" applyFill="1" applyBorder="1"/>
    <xf numFmtId="0" fontId="5" fillId="2" borderId="0" xfId="50" applyFont="1" applyFill="1" applyBorder="1" applyAlignment="1">
      <alignment horizontal="justify"/>
    </xf>
    <xf numFmtId="0" fontId="5" fillId="2" borderId="8" xfId="49" applyFont="1" applyFill="1" applyBorder="1" applyAlignment="1">
      <alignment horizontal="justify" vertical="center" wrapText="1"/>
    </xf>
    <xf numFmtId="165" fontId="20" fillId="10" borderId="26" xfId="1" applyNumberFormat="1" applyFont="1" applyFill="1" applyBorder="1" applyAlignment="1">
      <alignment horizontal="center" vertical="center" wrapText="1"/>
    </xf>
    <xf numFmtId="165" fontId="20" fillId="10" borderId="0" xfId="1" applyNumberFormat="1" applyFont="1" applyFill="1" applyBorder="1" applyAlignment="1">
      <alignment horizontal="center" vertical="center" wrapText="1"/>
    </xf>
    <xf numFmtId="165" fontId="5" fillId="2" borderId="0" xfId="1" applyNumberFormat="1" applyFont="1" applyFill="1" applyBorder="1" applyAlignment="1">
      <alignment horizontal="center" vertical="center"/>
    </xf>
    <xf numFmtId="165" fontId="5" fillId="2" borderId="0" xfId="1" applyNumberFormat="1" applyFont="1" applyFill="1" applyAlignment="1">
      <alignment horizontal="center" vertical="center"/>
    </xf>
    <xf numFmtId="0" fontId="20" fillId="10" borderId="26" xfId="50" applyFont="1" applyFill="1" applyBorder="1" applyAlignment="1">
      <alignment horizontal="justify" vertical="center" wrapText="1"/>
    </xf>
    <xf numFmtId="164" fontId="20" fillId="10" borderId="0" xfId="18" applyNumberFormat="1" applyFont="1" applyFill="1" applyBorder="1" applyAlignment="1">
      <alignment horizontal="justify" vertical="center" wrapText="1"/>
    </xf>
    <xf numFmtId="0" fontId="5" fillId="2" borderId="0" xfId="50" applyFont="1" applyFill="1" applyBorder="1" applyAlignment="1">
      <alignment horizontal="justify" vertical="center" wrapText="1"/>
    </xf>
    <xf numFmtId="0" fontId="5" fillId="2" borderId="0" xfId="50" applyFont="1" applyFill="1" applyAlignment="1">
      <alignment horizontal="justify" vertical="center" wrapText="1"/>
    </xf>
    <xf numFmtId="164" fontId="26" fillId="2" borderId="8" xfId="18" applyNumberFormat="1" applyFont="1" applyFill="1" applyBorder="1" applyAlignment="1">
      <alignment vertical="center" wrapText="1"/>
    </xf>
    <xf numFmtId="164" fontId="26" fillId="2" borderId="8" xfId="18" applyNumberFormat="1" applyFont="1" applyFill="1" applyBorder="1" applyAlignment="1">
      <alignment vertical="justify" wrapText="1"/>
    </xf>
    <xf numFmtId="164" fontId="26" fillId="2" borderId="11" xfId="18" applyNumberFormat="1" applyFont="1" applyFill="1" applyBorder="1" applyAlignment="1">
      <alignment vertical="center" wrapText="1"/>
    </xf>
    <xf numFmtId="164" fontId="29" fillId="0" borderId="0" xfId="18" applyNumberFormat="1" applyFont="1" applyAlignment="1">
      <alignment horizontal="center" wrapText="1"/>
    </xf>
    <xf numFmtId="164" fontId="3" fillId="2" borderId="8" xfId="18" applyNumberFormat="1" applyFont="1" applyFill="1" applyBorder="1" applyAlignment="1">
      <alignment horizontal="center" vertical="center" wrapText="1"/>
    </xf>
    <xf numFmtId="167" fontId="2" fillId="2" borderId="0" xfId="18" applyNumberFormat="1" applyFont="1" applyFill="1"/>
    <xf numFmtId="0" fontId="3" fillId="3" borderId="8" xfId="4" applyFont="1" applyFill="1" applyBorder="1" applyAlignment="1">
      <alignment horizontal="left" wrapText="1"/>
    </xf>
    <xf numFmtId="0" fontId="2" fillId="0" borderId="0" xfId="3" applyFont="1" applyAlignment="1">
      <alignment horizontal="left" wrapText="1"/>
    </xf>
    <xf numFmtId="0" fontId="4" fillId="0" borderId="8" xfId="2" applyFont="1" applyBorder="1" applyAlignment="1">
      <alignment horizontal="left" vertical="center" wrapText="1"/>
    </xf>
    <xf numFmtId="164" fontId="3" fillId="5" borderId="8" xfId="18" applyNumberFormat="1" applyFont="1" applyFill="1" applyBorder="1" applyAlignment="1">
      <alignment horizontal="center" vertical="center" wrapText="1"/>
    </xf>
    <xf numFmtId="164" fontId="25" fillId="3" borderId="8" xfId="18" applyNumberFormat="1" applyFont="1" applyFill="1" applyBorder="1" applyAlignment="1">
      <alignment vertical="center" wrapText="1"/>
    </xf>
    <xf numFmtId="9" fontId="25" fillId="3" borderId="8" xfId="54" applyFont="1" applyFill="1" applyBorder="1" applyAlignment="1">
      <alignment horizontal="center" vertical="center" wrapText="1"/>
    </xf>
    <xf numFmtId="164" fontId="25" fillId="3" borderId="8" xfId="18" applyNumberFormat="1" applyFont="1" applyFill="1" applyBorder="1" applyAlignment="1">
      <alignment horizontal="center" vertical="center" wrapText="1"/>
    </xf>
    <xf numFmtId="164" fontId="3" fillId="3" borderId="8" xfId="18" applyNumberFormat="1" applyFont="1" applyFill="1" applyBorder="1" applyAlignment="1">
      <alignment horizontal="center" vertical="center"/>
    </xf>
    <xf numFmtId="164" fontId="2" fillId="3" borderId="8" xfId="18" applyNumberFormat="1" applyFont="1" applyFill="1" applyBorder="1" applyAlignment="1">
      <alignment horizontal="center" vertical="center"/>
    </xf>
    <xf numFmtId="0" fontId="25" fillId="3" borderId="8" xfId="18" applyNumberFormat="1" applyFont="1" applyFill="1" applyBorder="1" applyAlignment="1">
      <alignment vertical="center" wrapText="1"/>
    </xf>
    <xf numFmtId="9" fontId="3" fillId="3" borderId="8" xfId="54" applyFont="1" applyFill="1" applyBorder="1" applyAlignment="1">
      <alignment horizontal="center" vertical="center"/>
    </xf>
    <xf numFmtId="0" fontId="3" fillId="3" borderId="8" xfId="18" applyNumberFormat="1" applyFont="1" applyFill="1" applyBorder="1" applyAlignment="1">
      <alignment horizontal="center" vertical="center"/>
    </xf>
    <xf numFmtId="0" fontId="43" fillId="0" borderId="0" xfId="17" applyFont="1" applyAlignment="1">
      <alignment horizontal="center" vertical="center"/>
    </xf>
    <xf numFmtId="0" fontId="43" fillId="0" borderId="0" xfId="17" applyFont="1" applyAlignment="1">
      <alignment horizontal="center" vertical="center" wrapText="1"/>
    </xf>
    <xf numFmtId="0" fontId="11" fillId="0" borderId="8" xfId="3" applyFont="1" applyBorder="1" applyAlignment="1">
      <alignment horizontal="left" vertical="center"/>
    </xf>
    <xf numFmtId="0" fontId="4" fillId="0" borderId="8" xfId="3" applyFont="1" applyBorder="1" applyAlignment="1">
      <alignment horizontal="left" vertical="center"/>
    </xf>
    <xf numFmtId="0" fontId="4" fillId="2" borderId="8" xfId="3" applyFont="1" applyFill="1" applyBorder="1" applyAlignment="1">
      <alignment horizontal="left" vertical="center"/>
    </xf>
    <xf numFmtId="0" fontId="2" fillId="0" borderId="8" xfId="17" applyFont="1" applyBorder="1" applyAlignment="1">
      <alignment horizontal="left" vertical="center"/>
    </xf>
    <xf numFmtId="0" fontId="2" fillId="0" borderId="8" xfId="17" applyFont="1" applyBorder="1" applyAlignment="1">
      <alignment horizontal="left" vertical="center" wrapText="1"/>
    </xf>
    <xf numFmtId="0" fontId="2" fillId="0" borderId="8" xfId="17" applyFont="1" applyBorder="1" applyAlignment="1">
      <alignment horizontal="justify" vertical="center"/>
    </xf>
    <xf numFmtId="0" fontId="2" fillId="0" borderId="0" xfId="17" applyFont="1" applyAlignment="1">
      <alignment horizontal="left" vertical="center"/>
    </xf>
    <xf numFmtId="0" fontId="2" fillId="0" borderId="0" xfId="17" applyFont="1" applyAlignment="1">
      <alignment horizontal="left" vertical="center" wrapText="1"/>
    </xf>
    <xf numFmtId="0" fontId="2" fillId="0" borderId="10" xfId="17" applyFont="1" applyBorder="1" applyAlignment="1">
      <alignment horizontal="left" vertical="center" wrapText="1"/>
    </xf>
    <xf numFmtId="0" fontId="2" fillId="0" borderId="0" xfId="17" applyFont="1" applyAlignment="1">
      <alignment vertical="center"/>
    </xf>
    <xf numFmtId="0" fontId="4" fillId="0" borderId="0" xfId="17" applyFont="1" applyAlignment="1">
      <alignment vertical="center"/>
    </xf>
    <xf numFmtId="0" fontId="4" fillId="0" borderId="0" xfId="17" applyFont="1" applyAlignment="1">
      <alignment horizontal="justify" vertical="center"/>
    </xf>
    <xf numFmtId="0" fontId="4" fillId="0" borderId="0" xfId="17" applyFont="1" applyAlignment="1">
      <alignment vertical="center" wrapText="1"/>
    </xf>
    <xf numFmtId="0" fontId="2" fillId="2" borderId="0" xfId="17" applyFont="1" applyFill="1" applyAlignment="1">
      <alignment vertical="center"/>
    </xf>
    <xf numFmtId="0" fontId="4" fillId="0" borderId="0" xfId="3" applyFont="1" applyAlignment="1">
      <alignment horizontal="left" vertical="center" wrapText="1"/>
    </xf>
    <xf numFmtId="0" fontId="2" fillId="0" borderId="0" xfId="17" applyFont="1" applyAlignment="1">
      <alignment horizontal="justify" vertical="center"/>
    </xf>
    <xf numFmtId="0" fontId="2" fillId="0" borderId="0" xfId="17" applyFont="1" applyAlignment="1">
      <alignment vertical="center" wrapText="1"/>
    </xf>
    <xf numFmtId="0" fontId="3" fillId="4" borderId="8" xfId="17" applyFont="1" applyFill="1" applyBorder="1" applyAlignment="1">
      <alignment horizontal="center" vertical="center"/>
    </xf>
    <xf numFmtId="0" fontId="2" fillId="0" borderId="0" xfId="17" applyFont="1" applyAlignment="1">
      <alignment horizontal="center" vertical="center" wrapText="1"/>
    </xf>
    <xf numFmtId="0" fontId="3" fillId="4" borderId="11" xfId="17" applyFont="1" applyFill="1" applyBorder="1" applyAlignment="1">
      <alignment horizontal="center" vertical="center"/>
    </xf>
    <xf numFmtId="0" fontId="3" fillId="4" borderId="8" xfId="17" applyFont="1" applyFill="1" applyBorder="1" applyAlignment="1">
      <alignment horizontal="left" vertical="center"/>
    </xf>
    <xf numFmtId="0" fontId="3" fillId="4" borderId="11" xfId="17" applyFont="1" applyFill="1" applyBorder="1" applyAlignment="1">
      <alignment horizontal="left" vertical="center"/>
    </xf>
    <xf numFmtId="0" fontId="4" fillId="0" borderId="0" xfId="3" applyFont="1" applyAlignment="1">
      <alignment horizontal="justify" vertical="center" wrapText="1"/>
    </xf>
    <xf numFmtId="0" fontId="2" fillId="0" borderId="0" xfId="17" applyFont="1" applyAlignment="1">
      <alignment horizontal="justify" vertical="center" wrapText="1"/>
    </xf>
    <xf numFmtId="164" fontId="2" fillId="0" borderId="0" xfId="8" applyNumberFormat="1" applyFont="1" applyAlignment="1">
      <alignment horizontal="justify" vertical="center"/>
    </xf>
    <xf numFmtId="164" fontId="44" fillId="22" borderId="8" xfId="18" applyNumberFormat="1" applyFont="1" applyFill="1" applyBorder="1" applyAlignment="1">
      <alignment horizontal="center" vertical="center" wrapText="1"/>
    </xf>
    <xf numFmtId="164" fontId="45" fillId="22" borderId="8" xfId="18" applyNumberFormat="1" applyFont="1" applyFill="1" applyBorder="1" applyAlignment="1">
      <alignment horizontal="center" vertical="center" wrapText="1"/>
    </xf>
    <xf numFmtId="164" fontId="44" fillId="22" borderId="8" xfId="18" applyNumberFormat="1" applyFont="1" applyFill="1" applyBorder="1" applyAlignment="1">
      <alignment vertical="center" wrapText="1"/>
    </xf>
    <xf numFmtId="10" fontId="44" fillId="22" borderId="8" xfId="54" applyNumberFormat="1" applyFont="1" applyFill="1" applyBorder="1" applyAlignment="1">
      <alignment vertical="center" wrapText="1"/>
    </xf>
    <xf numFmtId="0" fontId="3" fillId="9" borderId="8" xfId="18" applyNumberFormat="1" applyFont="1" applyFill="1" applyBorder="1" applyAlignment="1">
      <alignment vertical="center" wrapText="1"/>
    </xf>
    <xf numFmtId="164" fontId="3" fillId="9" borderId="8" xfId="18" applyNumberFormat="1" applyFont="1" applyFill="1" applyBorder="1" applyAlignment="1">
      <alignment vertical="center" wrapText="1"/>
    </xf>
    <xf numFmtId="0" fontId="2" fillId="2" borderId="8" xfId="18" applyNumberFormat="1" applyFont="1" applyFill="1" applyBorder="1" applyAlignment="1">
      <alignment vertical="center" wrapText="1"/>
    </xf>
    <xf numFmtId="164" fontId="2" fillId="2" borderId="8" xfId="18" applyNumberFormat="1" applyFont="1" applyFill="1" applyBorder="1" applyAlignment="1">
      <alignment vertical="center" wrapText="1"/>
    </xf>
    <xf numFmtId="0" fontId="2" fillId="2" borderId="11" xfId="18" applyNumberFormat="1" applyFont="1" applyFill="1" applyBorder="1" applyAlignment="1">
      <alignment vertical="center" wrapText="1"/>
    </xf>
    <xf numFmtId="164" fontId="2" fillId="2" borderId="11" xfId="18" applyNumberFormat="1" applyFont="1" applyFill="1" applyBorder="1" applyAlignment="1">
      <alignment vertical="center" wrapText="1"/>
    </xf>
    <xf numFmtId="0" fontId="28" fillId="0" borderId="0" xfId="18" applyNumberFormat="1" applyFont="1" applyAlignment="1">
      <alignment horizontal="center" vertical="center" wrapText="1"/>
    </xf>
    <xf numFmtId="0" fontId="29" fillId="0" borderId="0" xfId="0" applyNumberFormat="1" applyFont="1" applyAlignment="1">
      <alignment horizontal="center" vertical="center" wrapText="1"/>
    </xf>
    <xf numFmtId="0" fontId="2" fillId="0" borderId="0" xfId="18" applyNumberFormat="1" applyFont="1" applyAlignment="1">
      <alignment vertical="center"/>
    </xf>
    <xf numFmtId="0" fontId="5" fillId="2" borderId="0" xfId="18" applyNumberFormat="1" applyFont="1" applyFill="1" applyBorder="1" applyAlignment="1">
      <alignment vertical="center"/>
    </xf>
    <xf numFmtId="164" fontId="2" fillId="0" borderId="0" xfId="18" applyNumberFormat="1" applyFont="1" applyBorder="1" applyAlignment="1">
      <alignment vertical="center"/>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8" xfId="2" applyFont="1" applyBorder="1" applyAlignment="1">
      <alignment horizontal="justify" vertical="center" wrapText="1"/>
    </xf>
    <xf numFmtId="0" fontId="3" fillId="0" borderId="8" xfId="2" applyFont="1" applyBorder="1" applyAlignment="1">
      <alignment horizontal="center" vertical="center"/>
    </xf>
    <xf numFmtId="0" fontId="2" fillId="0" borderId="9" xfId="2" applyFont="1" applyBorder="1" applyAlignment="1">
      <alignment horizontal="justify" vertical="center" wrapText="1"/>
    </xf>
    <xf numFmtId="0" fontId="2" fillId="0" borderId="10" xfId="2" applyFont="1" applyBorder="1" applyAlignment="1">
      <alignment horizontal="justify" vertical="center" wrapText="1"/>
    </xf>
    <xf numFmtId="0" fontId="4" fillId="0" borderId="8" xfId="2" applyFont="1" applyBorder="1" applyAlignment="1">
      <alignment horizontal="justify" vertical="center" wrapText="1"/>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2" fillId="0" borderId="12" xfId="2" applyFont="1" applyBorder="1" applyAlignment="1">
      <alignment horizontal="left" vertical="center" wrapText="1"/>
    </xf>
    <xf numFmtId="0" fontId="2" fillId="2" borderId="0" xfId="2" applyFont="1" applyFill="1" applyAlignment="1">
      <alignment horizontal="center"/>
    </xf>
    <xf numFmtId="0" fontId="3" fillId="2" borderId="0" xfId="2" applyFont="1" applyFill="1" applyAlignment="1">
      <alignment horizontal="center" vertical="center"/>
    </xf>
    <xf numFmtId="0" fontId="4" fillId="0" borderId="1" xfId="2" applyFont="1" applyBorder="1" applyAlignment="1">
      <alignment horizontal="justify" vertical="top" wrapText="1"/>
    </xf>
    <xf numFmtId="0" fontId="4" fillId="0" borderId="2" xfId="2" applyFont="1" applyBorder="1" applyAlignment="1">
      <alignment horizontal="justify" vertical="top" wrapText="1"/>
    </xf>
    <xf numFmtId="0" fontId="4" fillId="0" borderId="3" xfId="2" applyFont="1" applyBorder="1" applyAlignment="1">
      <alignment horizontal="justify" vertical="top" wrapText="1"/>
    </xf>
    <xf numFmtId="0" fontId="4" fillId="0" borderId="4" xfId="2" applyFont="1" applyBorder="1" applyAlignment="1">
      <alignment horizontal="justify" vertical="top"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2" fillId="0" borderId="7" xfId="2" applyFont="1" applyBorder="1" applyAlignment="1">
      <alignment horizontal="justify" vertical="center" wrapText="1"/>
    </xf>
    <xf numFmtId="0" fontId="8" fillId="0" borderId="20" xfId="3" applyFont="1" applyBorder="1" applyAlignment="1">
      <alignment horizontal="left" vertical="center" wrapText="1"/>
    </xf>
    <xf numFmtId="0" fontId="8" fillId="0" borderId="21" xfId="3" applyFont="1" applyBorder="1" applyAlignment="1">
      <alignment horizontal="left" vertical="center" wrapText="1"/>
    </xf>
    <xf numFmtId="0" fontId="2" fillId="0" borderId="9" xfId="3" applyFont="1" applyBorder="1" applyAlignment="1">
      <alignment horizontal="justify" wrapText="1"/>
    </xf>
    <xf numFmtId="0" fontId="2" fillId="0" borderId="22" xfId="2" applyFont="1" applyBorder="1" applyAlignment="1">
      <alignment horizontal="justify" wrapText="1"/>
    </xf>
    <xf numFmtId="0" fontId="2" fillId="0" borderId="10" xfId="2" applyFont="1" applyBorder="1" applyAlignment="1">
      <alignment horizontal="justify" wrapText="1"/>
    </xf>
    <xf numFmtId="0" fontId="4" fillId="2" borderId="0" xfId="2" applyFont="1" applyFill="1" applyAlignment="1">
      <alignment horizontal="justify" vertical="center" wrapText="1"/>
    </xf>
    <xf numFmtId="0" fontId="2" fillId="2" borderId="0" xfId="2" applyFont="1" applyFill="1" applyAlignment="1">
      <alignment wrapText="1"/>
    </xf>
    <xf numFmtId="0" fontId="2" fillId="2" borderId="23" xfId="2" applyFont="1" applyFill="1" applyBorder="1" applyAlignment="1">
      <alignment wrapText="1"/>
    </xf>
    <xf numFmtId="0" fontId="2" fillId="0" borderId="0" xfId="3" applyFont="1" applyAlignment="1">
      <alignment wrapText="1"/>
    </xf>
    <xf numFmtId="0" fontId="2" fillId="0" borderId="0" xfId="2" applyFont="1" applyAlignment="1">
      <alignment wrapText="1"/>
    </xf>
    <xf numFmtId="0" fontId="3" fillId="2" borderId="8" xfId="2" applyFont="1" applyFill="1" applyBorder="1" applyAlignment="1">
      <alignment vertical="center" wrapText="1"/>
    </xf>
    <xf numFmtId="0" fontId="2" fillId="2" borderId="8" xfId="2" applyFont="1" applyFill="1" applyBorder="1" applyAlignment="1">
      <alignment wrapText="1"/>
    </xf>
    <xf numFmtId="0" fontId="2" fillId="2" borderId="8" xfId="3" applyFont="1" applyFill="1" applyBorder="1" applyAlignment="1">
      <alignment horizontal="justify" vertical="top" wrapText="1"/>
    </xf>
    <xf numFmtId="0" fontId="2" fillId="2" borderId="8" xfId="2" applyFont="1" applyFill="1" applyBorder="1" applyAlignment="1">
      <alignment horizontal="justify" vertical="top" wrapText="1"/>
    </xf>
    <xf numFmtId="0" fontId="3" fillId="3" borderId="0" xfId="3" applyFont="1" applyFill="1" applyAlignment="1">
      <alignment horizontal="left" wrapText="1"/>
    </xf>
    <xf numFmtId="0" fontId="3" fillId="3" borderId="0" xfId="2" applyFont="1" applyFill="1" applyAlignment="1">
      <alignment horizontal="left" wrapText="1"/>
    </xf>
    <xf numFmtId="0" fontId="3" fillId="0" borderId="20" xfId="3" applyFont="1" applyBorder="1" applyAlignment="1">
      <alignment horizontal="justify" vertical="center" wrapText="1"/>
    </xf>
    <xf numFmtId="0" fontId="3" fillId="0" borderId="21" xfId="3" applyFont="1" applyBorder="1" applyAlignment="1">
      <alignment horizontal="justify" vertical="center" wrapText="1"/>
    </xf>
    <xf numFmtId="0" fontId="2" fillId="0" borderId="9" xfId="3" applyFont="1" applyBorder="1" applyAlignment="1">
      <alignment horizontal="left" wrapText="1"/>
    </xf>
    <xf numFmtId="0" fontId="2" fillId="0" borderId="22" xfId="2" applyFont="1" applyBorder="1" applyAlignment="1">
      <alignment horizontal="left" wrapText="1"/>
    </xf>
    <xf numFmtId="0" fontId="2" fillId="0" borderId="10" xfId="2" applyFont="1" applyBorder="1" applyAlignment="1">
      <alignment horizontal="left" wrapText="1"/>
    </xf>
    <xf numFmtId="0" fontId="2" fillId="0" borderId="9" xfId="3" applyFont="1" applyBorder="1" applyAlignment="1">
      <alignment horizontal="left" vertical="center" wrapText="1"/>
    </xf>
    <xf numFmtId="0" fontId="2" fillId="0" borderId="22" xfId="2" applyFont="1" applyBorder="1" applyAlignment="1">
      <alignment horizontal="left" vertical="center" wrapText="1"/>
    </xf>
    <xf numFmtId="0" fontId="2" fillId="2" borderId="8" xfId="3" applyFont="1" applyFill="1" applyBorder="1" applyAlignment="1">
      <alignment horizontal="justify" vertical="center" wrapText="1"/>
    </xf>
    <xf numFmtId="0" fontId="2" fillId="2" borderId="8" xfId="2" applyFont="1" applyFill="1" applyBorder="1" applyAlignment="1">
      <alignment horizontal="justify" vertical="center" wrapText="1"/>
    </xf>
    <xf numFmtId="0" fontId="2" fillId="0" borderId="13" xfId="3" applyFont="1" applyBorder="1" applyAlignment="1">
      <alignment horizontal="center"/>
    </xf>
    <xf numFmtId="0" fontId="2" fillId="0" borderId="14" xfId="3" applyFont="1" applyBorder="1" applyAlignment="1">
      <alignment horizontal="center"/>
    </xf>
    <xf numFmtId="0" fontId="2" fillId="0" borderId="17" xfId="3" applyFont="1" applyBorder="1" applyAlignment="1">
      <alignment horizontal="center"/>
    </xf>
    <xf numFmtId="0" fontId="2" fillId="0" borderId="0" xfId="3" applyFont="1" applyAlignment="1">
      <alignment horizontal="center"/>
    </xf>
    <xf numFmtId="0" fontId="2" fillId="0" borderId="18" xfId="3" applyFont="1" applyBorder="1" applyAlignment="1">
      <alignment horizontal="center"/>
    </xf>
    <xf numFmtId="0" fontId="2" fillId="0" borderId="19" xfId="3" applyFont="1" applyBorder="1" applyAlignment="1">
      <alignment horizontal="center"/>
    </xf>
    <xf numFmtId="0" fontId="3" fillId="0" borderId="8" xfId="3" applyFont="1" applyBorder="1" applyAlignment="1">
      <alignment horizontal="center" vertical="center" wrapText="1"/>
    </xf>
    <xf numFmtId="0" fontId="2" fillId="0" borderId="8" xfId="2" applyFont="1" applyBorder="1" applyAlignment="1">
      <alignment horizontal="center" vertical="center" wrapText="1"/>
    </xf>
    <xf numFmtId="0" fontId="2" fillId="0" borderId="15" xfId="3" applyFont="1" applyBorder="1" applyAlignment="1">
      <alignment horizontal="center"/>
    </xf>
    <xf numFmtId="0" fontId="2" fillId="0" borderId="16" xfId="3" applyFont="1" applyBorder="1" applyAlignment="1">
      <alignment horizontal="center"/>
    </xf>
    <xf numFmtId="0" fontId="4" fillId="0" borderId="8" xfId="3" applyFont="1" applyBorder="1" applyAlignment="1">
      <alignment horizontal="left" vertical="center" wrapText="1"/>
    </xf>
    <xf numFmtId="0" fontId="2" fillId="0" borderId="8" xfId="17" applyFont="1" applyBorder="1" applyAlignment="1">
      <alignment horizontal="left" vertical="center" wrapText="1"/>
    </xf>
    <xf numFmtId="0" fontId="4" fillId="0" borderId="0" xfId="3" applyFont="1" applyAlignment="1">
      <alignment horizontal="justify" vertical="center" wrapText="1"/>
    </xf>
    <xf numFmtId="0" fontId="2" fillId="0" borderId="0" xfId="17" applyFont="1" applyAlignment="1">
      <alignment horizontal="justify" vertical="center" wrapText="1"/>
    </xf>
    <xf numFmtId="0" fontId="4" fillId="0" borderId="8" xfId="3" applyFont="1" applyBorder="1" applyAlignment="1">
      <alignment horizontal="justify" vertical="center" wrapText="1"/>
    </xf>
    <xf numFmtId="0" fontId="2" fillId="0" borderId="8" xfId="17" applyFont="1" applyBorder="1" applyAlignment="1">
      <alignment horizontal="justify" vertical="center" wrapText="1"/>
    </xf>
    <xf numFmtId="0" fontId="2" fillId="0" borderId="9" xfId="17" applyFont="1" applyBorder="1" applyAlignment="1">
      <alignment horizontal="left" vertical="center" wrapText="1"/>
    </xf>
    <xf numFmtId="0" fontId="2" fillId="0" borderId="22" xfId="17" applyFont="1" applyBorder="1" applyAlignment="1">
      <alignment horizontal="left" vertical="center" wrapText="1"/>
    </xf>
    <xf numFmtId="0" fontId="2" fillId="0" borderId="10" xfId="17" applyFont="1" applyBorder="1" applyAlignment="1">
      <alignment horizontal="left" vertical="center" wrapText="1"/>
    </xf>
    <xf numFmtId="0" fontId="42" fillId="0" borderId="0" xfId="3" applyFont="1" applyAlignment="1">
      <alignment horizontal="center" vertical="center"/>
    </xf>
    <xf numFmtId="0" fontId="2" fillId="0" borderId="0" xfId="17" applyFont="1" applyAlignment="1">
      <alignment horizontal="center" vertical="center"/>
    </xf>
    <xf numFmtId="0" fontId="4" fillId="0" borderId="9" xfId="3" applyFont="1" applyBorder="1" applyAlignment="1">
      <alignment horizontal="justify" vertical="center" wrapText="1"/>
    </xf>
    <xf numFmtId="0" fontId="4" fillId="0" borderId="22" xfId="3" applyFont="1" applyBorder="1" applyAlignment="1">
      <alignment horizontal="justify" vertical="center" wrapText="1"/>
    </xf>
    <xf numFmtId="0" fontId="4" fillId="0" borderId="10" xfId="3" applyFont="1" applyBorder="1" applyAlignment="1">
      <alignment horizontal="justify" vertical="center" wrapText="1"/>
    </xf>
    <xf numFmtId="0" fontId="2" fillId="0" borderId="9" xfId="17" applyFont="1" applyBorder="1" applyAlignment="1">
      <alignment horizontal="justify" vertical="center" wrapText="1"/>
    </xf>
    <xf numFmtId="0" fontId="2" fillId="0" borderId="22" xfId="17" applyFont="1" applyBorder="1" applyAlignment="1">
      <alignment horizontal="justify" vertical="center" wrapText="1"/>
    </xf>
    <xf numFmtId="0" fontId="2" fillId="0" borderId="10" xfId="17" applyFont="1" applyBorder="1" applyAlignment="1">
      <alignment horizontal="justify" vertical="center" wrapText="1"/>
    </xf>
    <xf numFmtId="0" fontId="4" fillId="2" borderId="8" xfId="3" applyFont="1" applyFill="1" applyBorder="1" applyAlignment="1">
      <alignment horizontal="left" vertical="center" wrapText="1"/>
    </xf>
    <xf numFmtId="0" fontId="2" fillId="2" borderId="8" xfId="17" applyFont="1" applyFill="1" applyBorder="1" applyAlignment="1">
      <alignment horizontal="left" vertical="center" wrapText="1"/>
    </xf>
    <xf numFmtId="0" fontId="4" fillId="0" borderId="0" xfId="4" applyFont="1" applyBorder="1" applyAlignment="1">
      <alignment wrapText="1"/>
    </xf>
    <xf numFmtId="0" fontId="2" fillId="0" borderId="0" xfId="4" applyFont="1" applyBorder="1" applyAlignment="1">
      <alignment wrapText="1"/>
    </xf>
    <xf numFmtId="0" fontId="3" fillId="4" borderId="8" xfId="4" applyFont="1" applyFill="1" applyBorder="1" applyAlignment="1">
      <alignment horizontal="center" wrapText="1"/>
    </xf>
    <xf numFmtId="0" fontId="3" fillId="18" borderId="8" xfId="4" applyFont="1" applyFill="1" applyBorder="1" applyAlignment="1">
      <alignment horizontal="center" wrapText="1"/>
    </xf>
    <xf numFmtId="0" fontId="34" fillId="19" borderId="9" xfId="4" applyFont="1" applyFill="1" applyBorder="1" applyAlignment="1">
      <alignment horizontal="center" vertical="center" wrapText="1"/>
    </xf>
    <xf numFmtId="0" fontId="34" fillId="19" borderId="22" xfId="4" applyFont="1" applyFill="1" applyBorder="1" applyAlignment="1">
      <alignment horizontal="center" vertical="center" wrapText="1"/>
    </xf>
    <xf numFmtId="0" fontId="34" fillId="19" borderId="10" xfId="4" applyFont="1" applyFill="1" applyBorder="1" applyAlignment="1">
      <alignment horizontal="center" vertical="center" wrapText="1"/>
    </xf>
    <xf numFmtId="0" fontId="35" fillId="19" borderId="11" xfId="4" applyFont="1" applyFill="1" applyBorder="1" applyAlignment="1">
      <alignment horizontal="center" vertical="center" wrapText="1"/>
    </xf>
    <xf numFmtId="0" fontId="35" fillId="19" borderId="24" xfId="4" applyFont="1" applyFill="1" applyBorder="1" applyAlignment="1">
      <alignment horizontal="center" vertical="center" wrapText="1"/>
    </xf>
    <xf numFmtId="0" fontId="35" fillId="19" borderId="7" xfId="4" applyFont="1" applyFill="1" applyBorder="1" applyAlignment="1">
      <alignment horizontal="center" vertical="center" wrapText="1"/>
    </xf>
    <xf numFmtId="0" fontId="3" fillId="18" borderId="8" xfId="4" applyFont="1" applyFill="1" applyBorder="1" applyAlignment="1">
      <alignment wrapText="1"/>
    </xf>
    <xf numFmtId="0" fontId="2" fillId="0" borderId="8" xfId="4" applyFont="1" applyBorder="1" applyAlignment="1">
      <alignment wrapText="1"/>
    </xf>
    <xf numFmtId="0" fontId="2" fillId="0" borderId="0" xfId="4" applyFont="1" applyAlignment="1">
      <alignment horizontal="justify" vertical="justify" wrapText="1"/>
    </xf>
    <xf numFmtId="0" fontId="4" fillId="0" borderId="12" xfId="4" applyFont="1" applyBorder="1" applyAlignment="1">
      <alignment wrapText="1"/>
    </xf>
    <xf numFmtId="0" fontId="2" fillId="0" borderId="12" xfId="4" applyFont="1" applyBorder="1" applyAlignment="1">
      <alignment wrapText="1"/>
    </xf>
    <xf numFmtId="0" fontId="11" fillId="2" borderId="11" xfId="4" applyFont="1" applyFill="1" applyBorder="1" applyAlignment="1">
      <alignment horizontal="left" vertical="center" wrapText="1"/>
    </xf>
    <xf numFmtId="0" fontId="11" fillId="2" borderId="24" xfId="4" applyFont="1" applyFill="1" applyBorder="1" applyAlignment="1">
      <alignment horizontal="left" vertical="center" wrapText="1"/>
    </xf>
    <xf numFmtId="0" fontId="0" fillId="2" borderId="7" xfId="0" applyFill="1" applyBorder="1" applyAlignment="1">
      <alignment wrapText="1"/>
    </xf>
    <xf numFmtId="0" fontId="11" fillId="2" borderId="11" xfId="4" applyFont="1" applyFill="1" applyBorder="1" applyAlignment="1">
      <alignment horizontal="left" vertical="center"/>
    </xf>
    <xf numFmtId="0" fontId="0" fillId="2" borderId="24" xfId="0" applyFill="1" applyBorder="1"/>
    <xf numFmtId="0" fontId="0" fillId="2" borderId="7" xfId="0" applyFill="1" applyBorder="1"/>
    <xf numFmtId="0" fontId="11" fillId="2" borderId="8" xfId="4" applyFont="1" applyFill="1" applyBorder="1" applyAlignment="1">
      <alignment wrapText="1"/>
    </xf>
    <xf numFmtId="0" fontId="0" fillId="2" borderId="8" xfId="0" applyFill="1" applyBorder="1" applyAlignment="1">
      <alignment wrapText="1"/>
    </xf>
    <xf numFmtId="0" fontId="11" fillId="2" borderId="8" xfId="4" applyFont="1" applyFill="1" applyBorder="1" applyAlignment="1">
      <alignment horizontal="left" vertical="center"/>
    </xf>
    <xf numFmtId="0" fontId="3" fillId="3" borderId="9" xfId="4" applyFont="1" applyFill="1" applyBorder="1" applyAlignment="1">
      <alignment wrapText="1"/>
    </xf>
    <xf numFmtId="0" fontId="3" fillId="3" borderId="10" xfId="4" applyFont="1" applyFill="1" applyBorder="1" applyAlignment="1">
      <alignment wrapText="1"/>
    </xf>
    <xf numFmtId="0" fontId="3" fillId="2" borderId="12" xfId="4" applyFont="1" applyFill="1" applyBorder="1" applyAlignment="1">
      <alignment wrapText="1"/>
    </xf>
    <xf numFmtId="0" fontId="2" fillId="2" borderId="12" xfId="4" applyFont="1" applyFill="1" applyBorder="1" applyAlignment="1">
      <alignment wrapText="1"/>
    </xf>
    <xf numFmtId="0" fontId="3" fillId="3" borderId="8" xfId="4" applyFont="1" applyFill="1" applyBorder="1" applyAlignment="1">
      <alignment horizontal="left" wrapText="1"/>
    </xf>
    <xf numFmtId="0" fontId="2" fillId="0" borderId="12" xfId="4" applyFont="1" applyBorder="1" applyAlignment="1">
      <alignment horizontal="justify" wrapText="1"/>
    </xf>
    <xf numFmtId="0" fontId="2" fillId="0" borderId="12" xfId="4" applyFont="1" applyBorder="1" applyAlignment="1">
      <alignment horizontal="left" wrapText="1"/>
    </xf>
    <xf numFmtId="0" fontId="3" fillId="3" borderId="8" xfId="4" applyFont="1" applyFill="1" applyBorder="1" applyAlignment="1">
      <alignment wrapText="1"/>
    </xf>
    <xf numFmtId="0" fontId="2" fillId="3" borderId="8" xfId="4" applyFont="1" applyFill="1" applyBorder="1" applyAlignment="1">
      <alignment wrapText="1"/>
    </xf>
    <xf numFmtId="0" fontId="28" fillId="0" borderId="0" xfId="18" applyNumberFormat="1" applyFont="1" applyAlignment="1">
      <alignment horizontal="center" wrapText="1"/>
    </xf>
    <xf numFmtId="0" fontId="0" fillId="0" borderId="0" xfId="0" applyAlignment="1">
      <alignment horizontal="center" wrapText="1"/>
    </xf>
    <xf numFmtId="0" fontId="28" fillId="0" borderId="0" xfId="18" applyNumberFormat="1" applyFont="1" applyAlignment="1">
      <alignment horizontal="center" vertical="center" wrapText="1"/>
    </xf>
    <xf numFmtId="0" fontId="3" fillId="2" borderId="0" xfId="4" applyFont="1" applyFill="1" applyAlignment="1">
      <alignment horizontal="left" wrapText="1"/>
    </xf>
    <xf numFmtId="0" fontId="2" fillId="0" borderId="0" xfId="3" applyFont="1" applyAlignment="1">
      <alignment horizontal="left" wrapText="1"/>
    </xf>
    <xf numFmtId="0" fontId="2" fillId="0" borderId="0" xfId="3" applyFont="1" applyBorder="1" applyAlignment="1">
      <alignment horizontal="left" wrapText="1"/>
    </xf>
    <xf numFmtId="0" fontId="3" fillId="2" borderId="0" xfId="4" applyFont="1" applyFill="1" applyBorder="1" applyAlignment="1">
      <alignment horizontal="left" wrapText="1"/>
    </xf>
    <xf numFmtId="0" fontId="2" fillId="0" borderId="0" xfId="3" applyFont="1" applyBorder="1" applyAlignment="1">
      <alignment horizontal="justify" wrapText="1"/>
    </xf>
    <xf numFmtId="0" fontId="0" fillId="0" borderId="0" xfId="0" applyBorder="1" applyAlignment="1">
      <alignment horizontal="justify" wrapText="1"/>
    </xf>
    <xf numFmtId="0" fontId="3" fillId="0" borderId="25" xfId="3" applyFont="1" applyBorder="1" applyAlignment="1">
      <alignment horizontal="left" wrapText="1"/>
    </xf>
    <xf numFmtId="0" fontId="3" fillId="0" borderId="0" xfId="3" applyFont="1" applyBorder="1" applyAlignment="1">
      <alignment horizontal="left" wrapText="1"/>
    </xf>
    <xf numFmtId="0" fontId="3" fillId="0" borderId="0" xfId="3" applyFont="1" applyBorder="1" applyAlignment="1">
      <alignment horizontal="justify" wrapText="1"/>
    </xf>
    <xf numFmtId="0" fontId="32" fillId="0" borderId="0" xfId="0" applyFont="1" applyBorder="1" applyAlignment="1">
      <alignment horizontal="justify" wrapText="1"/>
    </xf>
    <xf numFmtId="0" fontId="4" fillId="0" borderId="0" xfId="3" applyFont="1" applyBorder="1" applyAlignment="1">
      <alignment horizontal="justify" wrapText="1"/>
    </xf>
    <xf numFmtId="0" fontId="41" fillId="0" borderId="0" xfId="0" applyFont="1" applyBorder="1" applyAlignment="1">
      <alignment horizontal="justify" wrapText="1"/>
    </xf>
    <xf numFmtId="0" fontId="3" fillId="2" borderId="0" xfId="4" applyFont="1" applyFill="1" applyAlignment="1">
      <alignment horizontal="left" vertical="center" wrapText="1"/>
    </xf>
    <xf numFmtId="0" fontId="2" fillId="0" borderId="0" xfId="3" applyFont="1" applyAlignment="1">
      <alignment horizontal="left" vertical="center" wrapText="1"/>
    </xf>
    <xf numFmtId="0" fontId="0" fillId="0" borderId="0" xfId="0" applyAlignment="1">
      <alignment wrapText="1"/>
    </xf>
    <xf numFmtId="0" fontId="11" fillId="2" borderId="0" xfId="4" applyFont="1" applyFill="1" applyBorder="1" applyAlignment="1">
      <alignment horizontal="left" wrapText="1"/>
    </xf>
    <xf numFmtId="0" fontId="4" fillId="0" borderId="0" xfId="3" applyFont="1" applyBorder="1" applyAlignment="1">
      <alignment horizontal="left" wrapText="1"/>
    </xf>
    <xf numFmtId="0" fontId="11" fillId="2" borderId="0" xfId="4" applyFont="1" applyFill="1" applyAlignment="1">
      <alignment horizontal="left" wrapText="1"/>
    </xf>
    <xf numFmtId="0" fontId="4" fillId="0" borderId="0" xfId="3" applyFont="1" applyAlignment="1">
      <alignment horizontal="left" wrapText="1"/>
    </xf>
    <xf numFmtId="0" fontId="11" fillId="2" borderId="0" xfId="57" applyFont="1" applyFill="1" applyAlignment="1">
      <alignment horizontal="left" vertical="center" wrapText="1"/>
    </xf>
    <xf numFmtId="0" fontId="4" fillId="0" borderId="0" xfId="52" applyFont="1" applyAlignment="1">
      <alignment horizontal="left" vertical="center" wrapText="1"/>
    </xf>
    <xf numFmtId="0" fontId="5" fillId="2" borderId="26" xfId="0" applyFont="1" applyFill="1" applyBorder="1" applyAlignment="1">
      <alignment horizontal="justify" vertical="center" wrapText="1"/>
    </xf>
    <xf numFmtId="165" fontId="5" fillId="2" borderId="26" xfId="1" applyNumberFormat="1" applyFont="1" applyFill="1" applyBorder="1" applyAlignment="1">
      <alignment horizontal="center" vertical="center" wrapText="1"/>
    </xf>
    <xf numFmtId="0" fontId="5" fillId="2" borderId="46" xfId="0" applyFont="1" applyFill="1" applyBorder="1" applyAlignment="1">
      <alignment horizontal="justify" vertical="center" wrapText="1"/>
    </xf>
    <xf numFmtId="0" fontId="5" fillId="2" borderId="26"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26" xfId="49" applyFont="1" applyFill="1" applyBorder="1" applyAlignment="1">
      <alignment horizontal="justify" vertical="center" wrapText="1"/>
    </xf>
    <xf numFmtId="0" fontId="5" fillId="2" borderId="26" xfId="50" applyFont="1" applyFill="1" applyBorder="1" applyAlignment="1">
      <alignment horizontal="justify" vertical="center" wrapText="1"/>
    </xf>
    <xf numFmtId="0" fontId="5" fillId="2" borderId="26" xfId="50" applyFont="1" applyFill="1" applyBorder="1" applyAlignment="1">
      <alignment horizontal="left" vertical="center" wrapText="1"/>
    </xf>
    <xf numFmtId="0" fontId="5" fillId="2" borderId="26" xfId="49" applyFont="1" applyFill="1" applyBorder="1" applyAlignment="1">
      <alignment horizontal="left" vertical="center" wrapText="1"/>
    </xf>
    <xf numFmtId="0" fontId="5" fillId="2" borderId="42" xfId="50" applyFont="1" applyFill="1" applyBorder="1" applyAlignment="1">
      <alignment horizontal="left" vertical="center" wrapText="1"/>
    </xf>
    <xf numFmtId="0" fontId="5" fillId="2" borderId="43" xfId="50" applyFont="1" applyFill="1" applyBorder="1" applyAlignment="1">
      <alignment horizontal="left" vertical="center" wrapText="1"/>
    </xf>
    <xf numFmtId="0" fontId="5" fillId="2" borderId="44" xfId="50" applyFont="1" applyFill="1" applyBorder="1" applyAlignment="1">
      <alignment horizontal="left" vertical="center" wrapText="1"/>
    </xf>
  </cellXfs>
  <cellStyles count="102">
    <cellStyle name="Hipervínculo" xfId="60" builtinId="8"/>
    <cellStyle name="Hipervínculo 2" xfId="6"/>
    <cellStyle name="Millares" xfId="18" builtinId="3"/>
    <cellStyle name="Millares [0]" xfId="55" builtinId="6"/>
    <cellStyle name="Millares [0] 2" xfId="15"/>
    <cellStyle name="Millares [0] 2 2" xfId="26"/>
    <cellStyle name="Millares [0] 2 2 2" xfId="45"/>
    <cellStyle name="Millares [0] 2 2 2 2" xfId="95"/>
    <cellStyle name="Millares [0] 2 2 3" xfId="77"/>
    <cellStyle name="Millares [0] 2 3" xfId="36"/>
    <cellStyle name="Millares [0] 2 3 2" xfId="86"/>
    <cellStyle name="Millares [0] 2 4" xfId="68"/>
    <cellStyle name="Millares [0] 3" xfId="47"/>
    <cellStyle name="Millares [0] 3 2" xfId="97"/>
    <cellStyle name="Millares [0] 4" xfId="99"/>
    <cellStyle name="Millares 2" xfId="8"/>
    <cellStyle name="Millares 2 2" xfId="9"/>
    <cellStyle name="Millares 2 2 2" xfId="5"/>
    <cellStyle name="Millares 2 2 2 2" xfId="20"/>
    <cellStyle name="Millares 2 2 2 2 2" xfId="39"/>
    <cellStyle name="Millares 2 2 2 2 2 2" xfId="89"/>
    <cellStyle name="Millares 2 2 2 2 3" xfId="71"/>
    <cellStyle name="Millares 2 2 2 3" xfId="30"/>
    <cellStyle name="Millares 2 2 2 3 2" xfId="80"/>
    <cellStyle name="Millares 2 2 2 4" xfId="62"/>
    <cellStyle name="Millares 2 2 3" xfId="23"/>
    <cellStyle name="Millares 2 2 3 2" xfId="42"/>
    <cellStyle name="Millares 2 2 3 2 2" xfId="92"/>
    <cellStyle name="Millares 2 2 3 3" xfId="74"/>
    <cellStyle name="Millares 2 2 4" xfId="33"/>
    <cellStyle name="Millares 2 2 4 2" xfId="83"/>
    <cellStyle name="Millares 2 2 5" xfId="65"/>
    <cellStyle name="Millares 2 3" xfId="22"/>
    <cellStyle name="Millares 2 3 2" xfId="41"/>
    <cellStyle name="Millares 2 3 2 2" xfId="91"/>
    <cellStyle name="Millares 2 3 3" xfId="73"/>
    <cellStyle name="Millares 2 4" xfId="32"/>
    <cellStyle name="Millares 2 4 2" xfId="82"/>
    <cellStyle name="Millares 2 5" xfId="64"/>
    <cellStyle name="Millares 3" xfId="14"/>
    <cellStyle name="Millares 3 2" xfId="25"/>
    <cellStyle name="Millares 3 2 2" xfId="44"/>
    <cellStyle name="Millares 3 2 2 2" xfId="94"/>
    <cellStyle name="Millares 3 2 3" xfId="76"/>
    <cellStyle name="Millares 3 3" xfId="35"/>
    <cellStyle name="Millares 3 3 2" xfId="85"/>
    <cellStyle name="Millares 3 4" xfId="67"/>
    <cellStyle name="Millares 4" xfId="27"/>
    <cellStyle name="Millares 4 2" xfId="46"/>
    <cellStyle name="Millares 4 2 2" xfId="96"/>
    <cellStyle name="Millares 4 3" xfId="78"/>
    <cellStyle name="Millares 5" xfId="37"/>
    <cellStyle name="Millares 5 2" xfId="87"/>
    <cellStyle name="Millares 6" xfId="48"/>
    <cellStyle name="Millares 6 2" xfId="98"/>
    <cellStyle name="Millares 7" xfId="69"/>
    <cellStyle name="Millares 8" xfId="101"/>
    <cellStyle name="Moneda" xfId="1" builtinId="4"/>
    <cellStyle name="Moneda 2" xfId="10"/>
    <cellStyle name="Moneda 2 2" xfId="7"/>
    <cellStyle name="Moneda 2 2 2" xfId="21"/>
    <cellStyle name="Moneda 2 2 2 2" xfId="40"/>
    <cellStyle name="Moneda 2 2 2 2 2" xfId="90"/>
    <cellStyle name="Moneda 2 2 2 3" xfId="58"/>
    <cellStyle name="Moneda 2 2 2 3 2" xfId="100"/>
    <cellStyle name="Moneda 2 2 2 4" xfId="72"/>
    <cellStyle name="Moneda 2 2 3" xfId="31"/>
    <cellStyle name="Moneda 2 2 3 2" xfId="81"/>
    <cellStyle name="Moneda 2 2 4" xfId="63"/>
    <cellStyle name="Moneda 2 3" xfId="24"/>
    <cellStyle name="Moneda 2 3 2" xfId="43"/>
    <cellStyle name="Moneda 2 3 2 2" xfId="93"/>
    <cellStyle name="Moneda 2 3 3" xfId="75"/>
    <cellStyle name="Moneda 2 4" xfId="34"/>
    <cellStyle name="Moneda 2 4 2" xfId="84"/>
    <cellStyle name="Moneda 2 5" xfId="66"/>
    <cellStyle name="Moneda 3" xfId="19"/>
    <cellStyle name="Moneda 3 2" xfId="38"/>
    <cellStyle name="Moneda 3 2 2" xfId="88"/>
    <cellStyle name="Moneda 3 3" xfId="70"/>
    <cellStyle name="Moneda 4" xfId="29"/>
    <cellStyle name="Moneda 4 2" xfId="79"/>
    <cellStyle name="Moneda 5" xfId="61"/>
    <cellStyle name="Normal" xfId="0" builtinId="0"/>
    <cellStyle name="Normal 2" xfId="11"/>
    <cellStyle name="Normal 2 2" xfId="4"/>
    <cellStyle name="Normal 2 2 2" xfId="16"/>
    <cellStyle name="Normal 2 2 3" xfId="13"/>
    <cellStyle name="Normal 2 2 3 3" xfId="59"/>
    <cellStyle name="Normal 2 2 4" xfId="56"/>
    <cellStyle name="Normal 2 2 4 3" xfId="57"/>
    <cellStyle name="Normal 2 2 5" xfId="51"/>
    <cellStyle name="Normal 2 3" xfId="50"/>
    <cellStyle name="Normal 2 3 2" xfId="53"/>
    <cellStyle name="Normal 2 4" xfId="52"/>
    <cellStyle name="Normal 3" xfId="2"/>
    <cellStyle name="Normal 3 2" xfId="3"/>
    <cellStyle name="Normal 3 3" xfId="49"/>
    <cellStyle name="Normal 6" xfId="17"/>
    <cellStyle name="Porcentaje" xfId="54" builtinId="5"/>
    <cellStyle name="Porcentaje 2" xfId="12"/>
    <cellStyle name="Porcentaje 2 2" xfId="2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BC493488-C560-4D37-8EA3-C48157CC4CF1}"/>
            </a:ext>
          </a:extLst>
        </xdr:cNvPr>
        <xdr:cNvSpPr/>
      </xdr:nvSpPr>
      <xdr:spPr>
        <a:xfrm>
          <a:off x="2855119" y="8963819"/>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D352AA5C-6F25-44EC-ABA3-DAD90B7EC688}"/>
            </a:ext>
          </a:extLst>
        </xdr:cNvPr>
        <xdr:cNvSpPr/>
      </xdr:nvSpPr>
      <xdr:spPr>
        <a:xfrm>
          <a:off x="2848769" y="9177338"/>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EC62EE6C-FA8D-4D4A-9672-F1107852FAA6}"/>
            </a:ext>
          </a:extLst>
        </xdr:cNvPr>
        <xdr:cNvSpPr/>
      </xdr:nvSpPr>
      <xdr:spPr>
        <a:xfrm>
          <a:off x="2842419" y="9349581"/>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8632BF71-2D9E-4DC3-A4E5-BD8B9C505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640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0F16CDCA-957A-4632-8350-589ABEA27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154067</xdr:rowOff>
    </xdr:to>
    <xdr:pic>
      <xdr:nvPicPr>
        <xdr:cNvPr id="3" name="Imagen 2">
          <a:extLst>
            <a:ext uri="{FF2B5EF4-FFF2-40B4-BE49-F238E27FC236}">
              <a16:creationId xmlns:a16="http://schemas.microsoft.com/office/drawing/2014/main" id="{9689747B-BB2C-4D3D-B01C-56FFE7D006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193586" y="23806"/>
          <a:ext cx="2301884" cy="498561"/>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327C3A8E-24EB-411D-98D4-2466689C6544}"/>
            </a:ext>
          </a:extLst>
        </xdr:cNvPr>
        <xdr:cNvSpPr/>
      </xdr:nvSpPr>
      <xdr:spPr>
        <a:xfrm>
          <a:off x="9910000" y="9746343"/>
          <a:ext cx="2302865" cy="2706007"/>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2D1BEEA5-542B-4ED9-84BB-B3D9A6076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184324</xdr:colOff>
      <xdr:row>1</xdr:row>
      <xdr:rowOff>105834</xdr:rowOff>
    </xdr:from>
    <xdr:to>
      <xdr:col>9</xdr:col>
      <xdr:colOff>414521</xdr:colOff>
      <xdr:row>3</xdr:row>
      <xdr:rowOff>167480</xdr:rowOff>
    </xdr:to>
    <xdr:pic>
      <xdr:nvPicPr>
        <xdr:cNvPr id="3" name="Imagen 2">
          <a:extLst>
            <a:ext uri="{FF2B5EF4-FFF2-40B4-BE49-F238E27FC236}">
              <a16:creationId xmlns:a16="http://schemas.microsoft.com/office/drawing/2014/main" id="{E64B07E0-AD2C-4E13-9333-574ED6E8CA0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3614574" y="289984"/>
          <a:ext cx="1938347" cy="507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827616</xdr:colOff>
      <xdr:row>140</xdr:row>
      <xdr:rowOff>84667</xdr:rowOff>
    </xdr:from>
    <xdr:to>
      <xdr:col>2</xdr:col>
      <xdr:colOff>3153833</xdr:colOff>
      <xdr:row>152</xdr:row>
      <xdr:rowOff>45583</xdr:rowOff>
    </xdr:to>
    <xdr:pic>
      <xdr:nvPicPr>
        <xdr:cNvPr id="2" name="Imagen 1">
          <a:extLst>
            <a:ext uri="{FF2B5EF4-FFF2-40B4-BE49-F238E27FC236}">
              <a16:creationId xmlns:a16="http://schemas.microsoft.com/office/drawing/2014/main" id="{20F1D22C-97E7-4898-BA03-D1813CCD34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62" r="18053"/>
        <a:stretch/>
      </xdr:blipFill>
      <xdr:spPr bwMode="auto">
        <a:xfrm>
          <a:off x="7882466" y="25110017"/>
          <a:ext cx="2326217" cy="2094516"/>
        </a:xfrm>
        <a:prstGeom prst="rect">
          <a:avLst/>
        </a:prstGeom>
        <a:noFill/>
        <a:ln w="12700">
          <a:solidFill>
            <a:schemeClr val="tx1"/>
          </a:solidFill>
        </a:ln>
        <a:extLst>
          <a:ext uri="{53640926-AAD7-44D8-BBD7-CCE9431645EC}">
            <a14:shadowObscured xmlns:a14="http://schemas.microsoft.com/office/drawing/2010/main"/>
          </a:ext>
        </a:extLst>
      </xdr:spPr>
    </xdr:pic>
    <xdr:clientData/>
  </xdr:twoCellAnchor>
  <xdr:twoCellAnchor editAs="oneCell">
    <xdr:from>
      <xdr:col>24</xdr:col>
      <xdr:colOff>467933</xdr:colOff>
      <xdr:row>158</xdr:row>
      <xdr:rowOff>16631</xdr:rowOff>
    </xdr:from>
    <xdr:to>
      <xdr:col>38</xdr:col>
      <xdr:colOff>90712</xdr:colOff>
      <xdr:row>174</xdr:row>
      <xdr:rowOff>107248</xdr:rowOff>
    </xdr:to>
    <xdr:pic>
      <xdr:nvPicPr>
        <xdr:cNvPr id="3" name="Imagen 2">
          <a:extLst>
            <a:ext uri="{FF2B5EF4-FFF2-40B4-BE49-F238E27FC236}">
              <a16:creationId xmlns:a16="http://schemas.microsoft.com/office/drawing/2014/main" id="{F9CC3BE4-3E76-4875-B201-DEC6F3DE0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13133" y="28255081"/>
          <a:ext cx="10913079" cy="293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196</xdr:row>
      <xdr:rowOff>16631</xdr:rowOff>
    </xdr:from>
    <xdr:ext cx="10925778" cy="2993476"/>
    <xdr:pic>
      <xdr:nvPicPr>
        <xdr:cNvPr id="4" name="Imagen 3">
          <a:extLst>
            <a:ext uri="{FF2B5EF4-FFF2-40B4-BE49-F238E27FC236}">
              <a16:creationId xmlns:a16="http://schemas.microsoft.com/office/drawing/2014/main" id="{54BB2BAA-1D85-4C42-8ED3-FCF9401A2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13133" y="35024181"/>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304800</xdr:colOff>
      <xdr:row>32</xdr:row>
      <xdr:rowOff>52390</xdr:rowOff>
    </xdr:to>
    <xdr:sp macro="" textlink="">
      <xdr:nvSpPr>
        <xdr:cNvPr id="2" name="AutoShape 1">
          <a:extLst>
            <a:ext uri="{FF2B5EF4-FFF2-40B4-BE49-F238E27FC236}">
              <a16:creationId xmlns:a16="http://schemas.microsoft.com/office/drawing/2014/main" id="{07409E94-505C-49F7-A2DC-EA03630D5307}"/>
            </a:ext>
          </a:extLst>
        </xdr:cNvPr>
        <xdr:cNvSpPr>
          <a:spLocks noChangeAspect="1" noChangeArrowheads="1"/>
        </xdr:cNvSpPr>
      </xdr:nvSpPr>
      <xdr:spPr bwMode="auto">
        <a:xfrm>
          <a:off x="0" y="5308600"/>
          <a:ext cx="304800" cy="2301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50</xdr:row>
      <xdr:rowOff>0</xdr:rowOff>
    </xdr:from>
    <xdr:ext cx="304800" cy="304097"/>
    <xdr:sp macro="" textlink="">
      <xdr:nvSpPr>
        <xdr:cNvPr id="3" name="AutoShape 1">
          <a:extLst>
            <a:ext uri="{FF2B5EF4-FFF2-40B4-BE49-F238E27FC236}">
              <a16:creationId xmlns:a16="http://schemas.microsoft.com/office/drawing/2014/main" id="{88AB1F32-62FC-4FA2-983B-230FF0BC3074}"/>
            </a:ext>
          </a:extLst>
        </xdr:cNvPr>
        <xdr:cNvSpPr>
          <a:spLocks noChangeAspect="1" noChangeArrowheads="1"/>
        </xdr:cNvSpPr>
      </xdr:nvSpPr>
      <xdr:spPr bwMode="auto">
        <a:xfrm>
          <a:off x="0" y="9544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0</xdr:col>
      <xdr:colOff>304800</xdr:colOff>
      <xdr:row>81</xdr:row>
      <xdr:rowOff>52390</xdr:rowOff>
    </xdr:to>
    <xdr:sp macro="" textlink="">
      <xdr:nvSpPr>
        <xdr:cNvPr id="2" name="AutoShape 1">
          <a:extLst>
            <a:ext uri="{FF2B5EF4-FFF2-40B4-BE49-F238E27FC236}">
              <a16:creationId xmlns:a16="http://schemas.microsoft.com/office/drawing/2014/main" id="{7A6C605C-A966-4DB3-9B8D-E56807E4DD22}"/>
            </a:ext>
          </a:extLst>
        </xdr:cNvPr>
        <xdr:cNvSpPr>
          <a:spLocks noChangeAspect="1" noChangeArrowheads="1"/>
        </xdr:cNvSpPr>
      </xdr:nvSpPr>
      <xdr:spPr bwMode="auto">
        <a:xfrm>
          <a:off x="0" y="89725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117</xdr:row>
      <xdr:rowOff>0</xdr:rowOff>
    </xdr:from>
    <xdr:ext cx="304800" cy="304097"/>
    <xdr:sp macro="" textlink="">
      <xdr:nvSpPr>
        <xdr:cNvPr id="3" name="AutoShape 1">
          <a:extLst>
            <a:ext uri="{FF2B5EF4-FFF2-40B4-BE49-F238E27FC236}">
              <a16:creationId xmlns:a16="http://schemas.microsoft.com/office/drawing/2014/main" id="{701DD1A7-1186-4E2B-A72A-4DA45B411DD6}"/>
            </a:ext>
          </a:extLst>
        </xdr:cNvPr>
        <xdr:cNvSpPr>
          <a:spLocks noChangeAspect="1" noChangeArrowheads="1"/>
        </xdr:cNvSpPr>
      </xdr:nvSpPr>
      <xdr:spPr bwMode="auto">
        <a:xfrm>
          <a:off x="0" y="215709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232306"/>
    <xdr:sp macro="" textlink="">
      <xdr:nvSpPr>
        <xdr:cNvPr id="4" name="AutoShape 1">
          <a:extLst>
            <a:ext uri="{FF2B5EF4-FFF2-40B4-BE49-F238E27FC236}">
              <a16:creationId xmlns:a16="http://schemas.microsoft.com/office/drawing/2014/main" id="{428F7DCD-C38F-4402-BDE9-C6CD8ED2805A}"/>
            </a:ext>
          </a:extLst>
        </xdr:cNvPr>
        <xdr:cNvSpPr>
          <a:spLocks noChangeAspect="1" noChangeArrowheads="1"/>
        </xdr:cNvSpPr>
      </xdr:nvSpPr>
      <xdr:spPr bwMode="auto">
        <a:xfrm>
          <a:off x="0" y="20504150"/>
          <a:ext cx="304800" cy="2323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33340</xdr:rowOff>
    </xdr:to>
    <xdr:sp macro="" textlink="">
      <xdr:nvSpPr>
        <xdr:cNvPr id="2" name="AutoShape 1">
          <a:extLst>
            <a:ext uri="{FF2B5EF4-FFF2-40B4-BE49-F238E27FC236}">
              <a16:creationId xmlns:a16="http://schemas.microsoft.com/office/drawing/2014/main" id="{B8E50937-466B-41C3-81F2-DCF6754A1044}"/>
            </a:ext>
          </a:extLst>
        </xdr:cNvPr>
        <xdr:cNvSpPr>
          <a:spLocks noChangeAspect="1" noChangeArrowheads="1"/>
        </xdr:cNvSpPr>
      </xdr:nvSpPr>
      <xdr:spPr bwMode="auto">
        <a:xfrm>
          <a:off x="0" y="5327650"/>
          <a:ext cx="304800" cy="211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4097"/>
    <xdr:sp macro="" textlink="">
      <xdr:nvSpPr>
        <xdr:cNvPr id="3" name="AutoShape 1">
          <a:extLst>
            <a:ext uri="{FF2B5EF4-FFF2-40B4-BE49-F238E27FC236}">
              <a16:creationId xmlns:a16="http://schemas.microsoft.com/office/drawing/2014/main" id="{B189B546-33B1-450E-BA81-BF39E28C3FE9}"/>
            </a:ext>
          </a:extLst>
        </xdr:cNvPr>
        <xdr:cNvSpPr>
          <a:spLocks noChangeAspect="1" noChangeArrowheads="1"/>
        </xdr:cNvSpPr>
      </xdr:nvSpPr>
      <xdr:spPr bwMode="auto">
        <a:xfrm>
          <a:off x="0" y="9588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4" name="AutoShape 1">
          <a:extLst>
            <a:ext uri="{FF2B5EF4-FFF2-40B4-BE49-F238E27FC236}">
              <a16:creationId xmlns:a16="http://schemas.microsoft.com/office/drawing/2014/main" id="{FFD7AE58-E879-42D0-AD39-9C00CB7A3D4D}"/>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5" name="AutoShape 1">
          <a:extLst>
            <a:ext uri="{FF2B5EF4-FFF2-40B4-BE49-F238E27FC236}">
              <a16:creationId xmlns:a16="http://schemas.microsoft.com/office/drawing/2014/main" id="{4EB91C7C-B5D4-4E57-8E57-4B0AF88E2A0F}"/>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6" name="AutoShape 1">
          <a:extLst>
            <a:ext uri="{FF2B5EF4-FFF2-40B4-BE49-F238E27FC236}">
              <a16:creationId xmlns:a16="http://schemas.microsoft.com/office/drawing/2014/main" id="{250FB0AA-352A-44C9-9855-CD37DAD3DD58}"/>
            </a:ext>
          </a:extLst>
        </xdr:cNvPr>
        <xdr:cNvSpPr>
          <a:spLocks noChangeAspect="1" noChangeArrowheads="1"/>
        </xdr:cNvSpPr>
      </xdr:nvSpPr>
      <xdr:spPr bwMode="auto">
        <a:xfrm>
          <a:off x="0" y="23641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4097"/>
    <xdr:sp macro="" textlink="">
      <xdr:nvSpPr>
        <xdr:cNvPr id="7" name="AutoShape 1">
          <a:extLst>
            <a:ext uri="{FF2B5EF4-FFF2-40B4-BE49-F238E27FC236}">
              <a16:creationId xmlns:a16="http://schemas.microsoft.com/office/drawing/2014/main" id="{D4ACF0D1-1143-46D4-BC55-45607220AA0F}"/>
            </a:ext>
          </a:extLst>
        </xdr:cNvPr>
        <xdr:cNvSpPr>
          <a:spLocks noChangeAspect="1" noChangeArrowheads="1"/>
        </xdr:cNvSpPr>
      </xdr:nvSpPr>
      <xdr:spPr bwMode="auto">
        <a:xfrm>
          <a:off x="0" y="31191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36515</xdr:rowOff>
    </xdr:to>
    <xdr:sp macro="" textlink="">
      <xdr:nvSpPr>
        <xdr:cNvPr id="2" name="AutoShape 1">
          <a:extLst>
            <a:ext uri="{FF2B5EF4-FFF2-40B4-BE49-F238E27FC236}">
              <a16:creationId xmlns:a16="http://schemas.microsoft.com/office/drawing/2014/main" id="{888A93CC-0E86-4660-9B57-1CA3CCD255AA}"/>
            </a:ext>
          </a:extLst>
        </xdr:cNvPr>
        <xdr:cNvSpPr>
          <a:spLocks noChangeAspect="1" noChangeArrowheads="1"/>
        </xdr:cNvSpPr>
      </xdr:nvSpPr>
      <xdr:spPr bwMode="auto">
        <a:xfrm>
          <a:off x="0" y="600075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35</xdr:row>
      <xdr:rowOff>0</xdr:rowOff>
    </xdr:from>
    <xdr:ext cx="304800" cy="304097"/>
    <xdr:sp macro="" textlink="">
      <xdr:nvSpPr>
        <xdr:cNvPr id="3" name="AutoShape 1">
          <a:extLst>
            <a:ext uri="{FF2B5EF4-FFF2-40B4-BE49-F238E27FC236}">
              <a16:creationId xmlns:a16="http://schemas.microsoft.com/office/drawing/2014/main" id="{1FE39561-62B7-4A9A-85C2-27B0F2EC6DCE}"/>
            </a:ext>
          </a:extLst>
        </xdr:cNvPr>
        <xdr:cNvSpPr>
          <a:spLocks noChangeAspect="1" noChangeArrowheads="1"/>
        </xdr:cNvSpPr>
      </xdr:nvSpPr>
      <xdr:spPr bwMode="auto">
        <a:xfrm>
          <a:off x="0" y="8680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0</xdr:col>
      <xdr:colOff>304800</xdr:colOff>
      <xdr:row>35</xdr:row>
      <xdr:rowOff>52390</xdr:rowOff>
    </xdr:to>
    <xdr:sp macro="" textlink="">
      <xdr:nvSpPr>
        <xdr:cNvPr id="2" name="AutoShape 1">
          <a:extLst>
            <a:ext uri="{FF2B5EF4-FFF2-40B4-BE49-F238E27FC236}">
              <a16:creationId xmlns:a16="http://schemas.microsoft.com/office/drawing/2014/main" id="{024DFBC0-E3EE-4937-B37D-73EA789DEAF6}"/>
            </a:ext>
          </a:extLst>
        </xdr:cNvPr>
        <xdr:cNvSpPr>
          <a:spLocks noChangeAspect="1" noChangeArrowheads="1"/>
        </xdr:cNvSpPr>
      </xdr:nvSpPr>
      <xdr:spPr bwMode="auto">
        <a:xfrm>
          <a:off x="0" y="537210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50</xdr:row>
      <xdr:rowOff>0</xdr:rowOff>
    </xdr:from>
    <xdr:ext cx="304800" cy="304097"/>
    <xdr:sp macro="" textlink="">
      <xdr:nvSpPr>
        <xdr:cNvPr id="3" name="AutoShape 1">
          <a:extLst>
            <a:ext uri="{FF2B5EF4-FFF2-40B4-BE49-F238E27FC236}">
              <a16:creationId xmlns:a16="http://schemas.microsoft.com/office/drawing/2014/main" id="{22E6772B-A49A-41B8-A0D8-03AAD4D7BF5B}"/>
            </a:ext>
          </a:extLst>
        </xdr:cNvPr>
        <xdr:cNvSpPr>
          <a:spLocks noChangeAspect="1" noChangeArrowheads="1"/>
        </xdr:cNvSpPr>
      </xdr:nvSpPr>
      <xdr:spPr bwMode="auto">
        <a:xfrm>
          <a:off x="0" y="114173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55564</xdr:rowOff>
    </xdr:to>
    <xdr:sp macro="" textlink="">
      <xdr:nvSpPr>
        <xdr:cNvPr id="2" name="AutoShape 1">
          <a:extLst>
            <a:ext uri="{FF2B5EF4-FFF2-40B4-BE49-F238E27FC236}">
              <a16:creationId xmlns:a16="http://schemas.microsoft.com/office/drawing/2014/main" id="{0D530E41-675B-46D3-9F43-012B9485BD35}"/>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4097"/>
    <xdr:sp macro="" textlink="">
      <xdr:nvSpPr>
        <xdr:cNvPr id="3" name="AutoShape 1">
          <a:extLst>
            <a:ext uri="{FF2B5EF4-FFF2-40B4-BE49-F238E27FC236}">
              <a16:creationId xmlns:a16="http://schemas.microsoft.com/office/drawing/2014/main" id="{C05CEE11-F5AE-4BFB-B275-E463844DD3C3}"/>
            </a:ext>
          </a:extLst>
        </xdr:cNvPr>
        <xdr:cNvSpPr>
          <a:spLocks noChangeAspect="1" noChangeArrowheads="1"/>
        </xdr:cNvSpPr>
      </xdr:nvSpPr>
      <xdr:spPr bwMode="auto">
        <a:xfrm>
          <a:off x="0" y="11379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097"/>
    <xdr:sp macro="" textlink="">
      <xdr:nvSpPr>
        <xdr:cNvPr id="4" name="AutoShape 1">
          <a:extLst>
            <a:ext uri="{FF2B5EF4-FFF2-40B4-BE49-F238E27FC236}">
              <a16:creationId xmlns:a16="http://schemas.microsoft.com/office/drawing/2014/main" id="{4137E07B-33CD-4255-9D01-B1802C9D73AB}"/>
            </a:ext>
          </a:extLst>
        </xdr:cNvPr>
        <xdr:cNvSpPr>
          <a:spLocks noChangeAspect="1" noChangeArrowheads="1"/>
        </xdr:cNvSpPr>
      </xdr:nvSpPr>
      <xdr:spPr bwMode="auto">
        <a:xfrm>
          <a:off x="0" y="14732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5" name="AutoShape 1">
          <a:extLst>
            <a:ext uri="{FF2B5EF4-FFF2-40B4-BE49-F238E27FC236}">
              <a16:creationId xmlns:a16="http://schemas.microsoft.com/office/drawing/2014/main" id="{A2B6F9E4-7267-4CDC-ACB3-F35D9A28CD5E}"/>
            </a:ext>
          </a:extLst>
        </xdr:cNvPr>
        <xdr:cNvSpPr>
          <a:spLocks noChangeAspect="1" noChangeArrowheads="1"/>
        </xdr:cNvSpPr>
      </xdr:nvSpPr>
      <xdr:spPr bwMode="auto">
        <a:xfrm>
          <a:off x="0" y="20789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6" name="AutoShape 1">
          <a:extLst>
            <a:ext uri="{FF2B5EF4-FFF2-40B4-BE49-F238E27FC236}">
              <a16:creationId xmlns:a16="http://schemas.microsoft.com/office/drawing/2014/main" id="{4C2DEC4B-93B1-4F50-85D9-7240860140F1}"/>
            </a:ext>
          </a:extLst>
        </xdr:cNvPr>
        <xdr:cNvSpPr>
          <a:spLocks noChangeAspect="1" noChangeArrowheads="1"/>
        </xdr:cNvSpPr>
      </xdr:nvSpPr>
      <xdr:spPr bwMode="auto">
        <a:xfrm>
          <a:off x="0" y="290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304800</xdr:colOff>
      <xdr:row>31</xdr:row>
      <xdr:rowOff>52389</xdr:rowOff>
    </xdr:to>
    <xdr:sp macro="" textlink="">
      <xdr:nvSpPr>
        <xdr:cNvPr id="2" name="AutoShape 1">
          <a:extLst>
            <a:ext uri="{FF2B5EF4-FFF2-40B4-BE49-F238E27FC236}">
              <a16:creationId xmlns:a16="http://schemas.microsoft.com/office/drawing/2014/main" id="{EEA1D9B0-D0DD-49B6-8F73-C1E0BC3285E2}"/>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4097"/>
    <xdr:sp macro="" textlink="">
      <xdr:nvSpPr>
        <xdr:cNvPr id="3" name="AutoShape 1">
          <a:extLst>
            <a:ext uri="{FF2B5EF4-FFF2-40B4-BE49-F238E27FC236}">
              <a16:creationId xmlns:a16="http://schemas.microsoft.com/office/drawing/2014/main" id="{DF7C561E-B448-47EA-A160-DD944666A5AF}"/>
            </a:ext>
          </a:extLst>
        </xdr:cNvPr>
        <xdr:cNvSpPr>
          <a:spLocks noChangeAspect="1" noChangeArrowheads="1"/>
        </xdr:cNvSpPr>
      </xdr:nvSpPr>
      <xdr:spPr bwMode="auto">
        <a:xfrm>
          <a:off x="0" y="1155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304800</xdr:colOff>
      <xdr:row>43</xdr:row>
      <xdr:rowOff>36516</xdr:rowOff>
    </xdr:to>
    <xdr:sp macro="" textlink="">
      <xdr:nvSpPr>
        <xdr:cNvPr id="2" name="AutoShape 1">
          <a:extLst>
            <a:ext uri="{FF2B5EF4-FFF2-40B4-BE49-F238E27FC236}">
              <a16:creationId xmlns:a16="http://schemas.microsoft.com/office/drawing/2014/main" id="{7062CF5F-5819-4DF4-8B6F-B27A9A188642}"/>
            </a:ext>
          </a:extLst>
        </xdr:cNvPr>
        <xdr:cNvSpPr>
          <a:spLocks noChangeAspect="1" noChangeArrowheads="1"/>
        </xdr:cNvSpPr>
      </xdr:nvSpPr>
      <xdr:spPr bwMode="auto">
        <a:xfrm>
          <a:off x="0" y="698500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46</xdr:row>
      <xdr:rowOff>0</xdr:rowOff>
    </xdr:from>
    <xdr:ext cx="304800" cy="304097"/>
    <xdr:sp macro="" textlink="">
      <xdr:nvSpPr>
        <xdr:cNvPr id="3" name="AutoShape 1">
          <a:extLst>
            <a:ext uri="{FF2B5EF4-FFF2-40B4-BE49-F238E27FC236}">
              <a16:creationId xmlns:a16="http://schemas.microsoft.com/office/drawing/2014/main" id="{5021D7F5-C1B3-487E-9F0C-2BC447AA61CD}"/>
            </a:ext>
          </a:extLst>
        </xdr:cNvPr>
        <xdr:cNvSpPr>
          <a:spLocks noChangeAspect="1" noChangeArrowheads="1"/>
        </xdr:cNvSpPr>
      </xdr:nvSpPr>
      <xdr:spPr bwMode="auto">
        <a:xfrm>
          <a:off x="0" y="10807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304097"/>
    <xdr:sp macro="" textlink="">
      <xdr:nvSpPr>
        <xdr:cNvPr id="4" name="AutoShape 1">
          <a:extLst>
            <a:ext uri="{FF2B5EF4-FFF2-40B4-BE49-F238E27FC236}">
              <a16:creationId xmlns:a16="http://schemas.microsoft.com/office/drawing/2014/main" id="{C5166C48-0DDA-4F5B-908B-551571F5C005}"/>
            </a:ext>
          </a:extLst>
        </xdr:cNvPr>
        <xdr:cNvSpPr>
          <a:spLocks noChangeAspect="1" noChangeArrowheads="1"/>
        </xdr:cNvSpPr>
      </xdr:nvSpPr>
      <xdr:spPr bwMode="auto">
        <a:xfrm>
          <a:off x="0" y="11855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5" name="AutoShape 1">
          <a:extLst>
            <a:ext uri="{FF2B5EF4-FFF2-40B4-BE49-F238E27FC236}">
              <a16:creationId xmlns:a16="http://schemas.microsoft.com/office/drawing/2014/main" id="{24EC54BA-C300-4DF7-8DC5-D90D1F81BFF8}"/>
            </a:ext>
          </a:extLst>
        </xdr:cNvPr>
        <xdr:cNvSpPr>
          <a:spLocks noChangeAspect="1" noChangeArrowheads="1"/>
        </xdr:cNvSpPr>
      </xdr:nvSpPr>
      <xdr:spPr bwMode="auto">
        <a:xfrm>
          <a:off x="0" y="3608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0</xdr:col>
      <xdr:colOff>304800</xdr:colOff>
      <xdr:row>45</xdr:row>
      <xdr:rowOff>52389</xdr:rowOff>
    </xdr:to>
    <xdr:sp macro="" textlink="">
      <xdr:nvSpPr>
        <xdr:cNvPr id="2" name="AutoShape 1">
          <a:extLst>
            <a:ext uri="{FF2B5EF4-FFF2-40B4-BE49-F238E27FC236}">
              <a16:creationId xmlns:a16="http://schemas.microsoft.com/office/drawing/2014/main" id="{FB1EB374-8CB8-4E42-ADC6-1E3816D11474}"/>
            </a:ext>
          </a:extLst>
        </xdr:cNvPr>
        <xdr:cNvSpPr>
          <a:spLocks noChangeAspect="1" noChangeArrowheads="1"/>
        </xdr:cNvSpPr>
      </xdr:nvSpPr>
      <xdr:spPr bwMode="auto">
        <a:xfrm>
          <a:off x="0" y="9334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51</xdr:row>
      <xdr:rowOff>0</xdr:rowOff>
    </xdr:from>
    <xdr:ext cx="304800" cy="304097"/>
    <xdr:sp macro="" textlink="">
      <xdr:nvSpPr>
        <xdr:cNvPr id="3" name="AutoShape 1">
          <a:extLst>
            <a:ext uri="{FF2B5EF4-FFF2-40B4-BE49-F238E27FC236}">
              <a16:creationId xmlns:a16="http://schemas.microsoft.com/office/drawing/2014/main" id="{42DFE397-72E9-48F2-A21E-09E3A9083E8D}"/>
            </a:ext>
          </a:extLst>
        </xdr:cNvPr>
        <xdr:cNvSpPr>
          <a:spLocks noChangeAspect="1" noChangeArrowheads="1"/>
        </xdr:cNvSpPr>
      </xdr:nvSpPr>
      <xdr:spPr bwMode="auto">
        <a:xfrm>
          <a:off x="0" y="13525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883C5827-EA30-41D9-96F3-B7BF73FA3497}"/>
            </a:ext>
          </a:extLst>
        </xdr:cNvPr>
        <xdr:cNvSpPr>
          <a:spLocks noChangeAspect="1" noChangeArrowheads="1"/>
        </xdr:cNvSpPr>
      </xdr:nvSpPr>
      <xdr:spPr bwMode="auto">
        <a:xfrm>
          <a:off x="0" y="185329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097"/>
    <xdr:sp macro="" textlink="">
      <xdr:nvSpPr>
        <xdr:cNvPr id="5" name="AutoShape 1">
          <a:extLst>
            <a:ext uri="{FF2B5EF4-FFF2-40B4-BE49-F238E27FC236}">
              <a16:creationId xmlns:a16="http://schemas.microsoft.com/office/drawing/2014/main" id="{26E49E71-E91C-4A39-8998-804F5B7C63E5}"/>
            </a:ext>
          </a:extLst>
        </xdr:cNvPr>
        <xdr:cNvSpPr>
          <a:spLocks noChangeAspect="1" noChangeArrowheads="1"/>
        </xdr:cNvSpPr>
      </xdr:nvSpPr>
      <xdr:spPr bwMode="auto">
        <a:xfrm>
          <a:off x="0" y="3600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097"/>
    <xdr:sp macro="" textlink="">
      <xdr:nvSpPr>
        <xdr:cNvPr id="6" name="AutoShape 1">
          <a:extLst>
            <a:ext uri="{FF2B5EF4-FFF2-40B4-BE49-F238E27FC236}">
              <a16:creationId xmlns:a16="http://schemas.microsoft.com/office/drawing/2014/main" id="{0AE375BA-60EC-40F5-B12A-5A163A06EB17}"/>
            </a:ext>
          </a:extLst>
        </xdr:cNvPr>
        <xdr:cNvSpPr>
          <a:spLocks noChangeAspect="1" noChangeArrowheads="1"/>
        </xdr:cNvSpPr>
      </xdr:nvSpPr>
      <xdr:spPr bwMode="auto">
        <a:xfrm>
          <a:off x="0" y="64316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7" name="AutoShape 1">
          <a:extLst>
            <a:ext uri="{FF2B5EF4-FFF2-40B4-BE49-F238E27FC236}">
              <a16:creationId xmlns:a16="http://schemas.microsoft.com/office/drawing/2014/main" id="{2ABA55EF-36C2-4618-B73C-D781A6B22EEC}"/>
            </a:ext>
          </a:extLst>
        </xdr:cNvPr>
        <xdr:cNvSpPr>
          <a:spLocks noChangeAspect="1" noChangeArrowheads="1"/>
        </xdr:cNvSpPr>
      </xdr:nvSpPr>
      <xdr:spPr bwMode="auto">
        <a:xfrm>
          <a:off x="0" y="161471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8" name="AutoShape 1">
          <a:extLst>
            <a:ext uri="{FF2B5EF4-FFF2-40B4-BE49-F238E27FC236}">
              <a16:creationId xmlns:a16="http://schemas.microsoft.com/office/drawing/2014/main" id="{245E9EFC-96E7-499C-AEB9-E62660781063}"/>
            </a:ext>
          </a:extLst>
        </xdr:cNvPr>
        <xdr:cNvSpPr>
          <a:spLocks noChangeAspect="1" noChangeArrowheads="1"/>
        </xdr:cNvSpPr>
      </xdr:nvSpPr>
      <xdr:spPr bwMode="auto">
        <a:xfrm>
          <a:off x="0" y="241844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097"/>
    <xdr:sp macro="" textlink="">
      <xdr:nvSpPr>
        <xdr:cNvPr id="9" name="AutoShape 1">
          <a:extLst>
            <a:ext uri="{FF2B5EF4-FFF2-40B4-BE49-F238E27FC236}">
              <a16:creationId xmlns:a16="http://schemas.microsoft.com/office/drawing/2014/main" id="{4E7346C6-7A08-4064-BBAC-C0AC48E891D2}"/>
            </a:ext>
          </a:extLst>
        </xdr:cNvPr>
        <xdr:cNvSpPr>
          <a:spLocks noChangeAspect="1" noChangeArrowheads="1"/>
        </xdr:cNvSpPr>
      </xdr:nvSpPr>
      <xdr:spPr bwMode="auto">
        <a:xfrm>
          <a:off x="0" y="327206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153</xdr:row>
      <xdr:rowOff>0</xdr:rowOff>
    </xdr:from>
    <xdr:ext cx="304800" cy="304097"/>
    <xdr:sp macro="" textlink="">
      <xdr:nvSpPr>
        <xdr:cNvPr id="10" name="AutoShape 1">
          <a:extLst>
            <a:ext uri="{FF2B5EF4-FFF2-40B4-BE49-F238E27FC236}">
              <a16:creationId xmlns:a16="http://schemas.microsoft.com/office/drawing/2014/main" id="{32FCBEBF-9A76-4C95-BF76-3AB9D4824E63}"/>
            </a:ext>
          </a:extLst>
        </xdr:cNvPr>
        <xdr:cNvSpPr>
          <a:spLocks noChangeAspect="1" noChangeArrowheads="1"/>
        </xdr:cNvSpPr>
      </xdr:nvSpPr>
      <xdr:spPr bwMode="auto">
        <a:xfrm>
          <a:off x="0" y="40485786"/>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np.gov.co/DNP/contratac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topLeftCell="A44" zoomScale="90" zoomScaleNormal="90" workbookViewId="0">
      <selection activeCell="C50" sqref="C50"/>
    </sheetView>
  </sheetViews>
  <sheetFormatPr baseColWidth="10" defaultColWidth="10.85546875" defaultRowHeight="14.25" x14ac:dyDescent="0.2"/>
  <cols>
    <col min="1" max="1" width="5.85546875" style="1" customWidth="1"/>
    <col min="2" max="2" width="25.85546875" style="1" customWidth="1"/>
    <col min="3" max="3" width="103.42578125" style="1" customWidth="1"/>
    <col min="4" max="16384" width="10.85546875" style="1"/>
  </cols>
  <sheetData>
    <row r="1" spans="2:12" ht="24.75" customHeight="1" x14ac:dyDescent="0.2">
      <c r="B1" s="751"/>
      <c r="C1" s="751"/>
      <c r="E1" s="2"/>
      <c r="F1" s="2"/>
      <c r="G1" s="2"/>
      <c r="H1" s="2"/>
      <c r="I1" s="2"/>
      <c r="J1" s="2"/>
      <c r="K1" s="2"/>
      <c r="L1" s="2"/>
    </row>
    <row r="2" spans="2:12" ht="18" customHeight="1" thickBot="1" x14ac:dyDescent="0.3">
      <c r="B2" s="752" t="s">
        <v>0</v>
      </c>
      <c r="C2" s="752"/>
      <c r="D2" s="3"/>
      <c r="E2" s="2"/>
      <c r="F2" s="2"/>
      <c r="G2" s="2"/>
      <c r="H2" s="2"/>
      <c r="I2" s="2"/>
      <c r="J2" s="2"/>
      <c r="K2" s="2"/>
      <c r="L2" s="2"/>
    </row>
    <row r="3" spans="2:12" ht="13.35" customHeight="1" x14ac:dyDescent="0.2">
      <c r="B3" s="753" t="s">
        <v>401</v>
      </c>
      <c r="C3" s="754"/>
      <c r="D3" s="2"/>
      <c r="E3" s="2"/>
      <c r="F3" s="2"/>
      <c r="G3" s="2"/>
      <c r="H3" s="2"/>
      <c r="I3" s="2"/>
      <c r="J3" s="2"/>
      <c r="K3" s="2"/>
      <c r="L3" s="2"/>
    </row>
    <row r="4" spans="2:12" s="5" customFormat="1" ht="98.1" customHeight="1" thickBot="1" x14ac:dyDescent="0.25">
      <c r="B4" s="755"/>
      <c r="C4" s="756"/>
      <c r="D4" s="4"/>
      <c r="E4" s="2"/>
      <c r="F4" s="2"/>
      <c r="G4" s="2"/>
      <c r="H4" s="2"/>
      <c r="I4" s="2"/>
      <c r="J4" s="2"/>
      <c r="K4" s="2"/>
      <c r="L4" s="2"/>
    </row>
    <row r="5" spans="2:12" s="5" customFormat="1" ht="24.75" customHeight="1" thickBot="1" x14ac:dyDescent="0.25">
      <c r="B5" s="6"/>
      <c r="C5" s="6"/>
      <c r="D5" s="4"/>
      <c r="E5" s="4"/>
      <c r="F5" s="4"/>
      <c r="G5" s="4"/>
      <c r="H5" s="4"/>
      <c r="I5" s="4"/>
      <c r="J5" s="4"/>
    </row>
    <row r="6" spans="2:12" s="8" customFormat="1" ht="20.100000000000001" customHeight="1" thickBot="1" x14ac:dyDescent="0.3">
      <c r="B6" s="757" t="s">
        <v>1</v>
      </c>
      <c r="C6" s="758"/>
      <c r="D6" s="7"/>
      <c r="E6" s="7"/>
      <c r="F6" s="7"/>
      <c r="G6" s="7"/>
      <c r="H6" s="7"/>
      <c r="I6" s="7"/>
      <c r="J6" s="7"/>
    </row>
    <row r="7" spans="2:12" s="5" customFormat="1" ht="11.45" customHeight="1" x14ac:dyDescent="0.2">
      <c r="B7" s="759" t="s">
        <v>2</v>
      </c>
      <c r="C7" s="759"/>
      <c r="D7" s="4"/>
      <c r="E7" s="4"/>
      <c r="F7" s="4"/>
      <c r="G7" s="4"/>
      <c r="H7" s="4"/>
      <c r="I7" s="4"/>
      <c r="J7" s="4"/>
    </row>
    <row r="8" spans="2:12" s="4" customFormat="1" ht="21.95" customHeight="1" x14ac:dyDescent="0.2">
      <c r="B8" s="743"/>
      <c r="C8" s="743"/>
    </row>
    <row r="9" spans="2:12" s="5" customFormat="1" ht="24.75" customHeight="1" x14ac:dyDescent="0.2">
      <c r="B9" s="6"/>
      <c r="C9" s="6"/>
      <c r="D9" s="4"/>
      <c r="E9" s="4"/>
      <c r="F9" s="4"/>
      <c r="G9" s="4"/>
      <c r="H9" s="4"/>
      <c r="I9" s="4"/>
      <c r="J9" s="4"/>
    </row>
    <row r="10" spans="2:12" s="8" customFormat="1" ht="15" x14ac:dyDescent="0.25">
      <c r="B10" s="744" t="s">
        <v>3</v>
      </c>
      <c r="C10" s="744"/>
      <c r="D10" s="7"/>
      <c r="E10" s="7"/>
      <c r="F10" s="7"/>
      <c r="G10" s="7"/>
      <c r="H10" s="7"/>
      <c r="I10" s="7"/>
      <c r="J10" s="7"/>
    </row>
    <row r="11" spans="2:12" s="5" customFormat="1" ht="11.45" customHeight="1" x14ac:dyDescent="0.2">
      <c r="B11" s="743" t="s">
        <v>4</v>
      </c>
      <c r="C11" s="743"/>
      <c r="D11" s="4"/>
      <c r="E11" s="4"/>
      <c r="F11" s="4"/>
      <c r="G11" s="4"/>
      <c r="H11" s="4"/>
      <c r="I11" s="4"/>
      <c r="J11" s="4"/>
    </row>
    <row r="12" spans="2:12" s="4" customFormat="1" ht="35.1" customHeight="1" x14ac:dyDescent="0.2">
      <c r="B12" s="743"/>
      <c r="C12" s="743"/>
    </row>
    <row r="13" spans="2:12" s="5" customFormat="1" ht="24.75" customHeight="1" x14ac:dyDescent="0.2">
      <c r="B13" s="6"/>
      <c r="C13" s="6"/>
      <c r="D13" s="4"/>
      <c r="E13" s="4"/>
      <c r="F13" s="4"/>
      <c r="G13" s="4"/>
      <c r="H13" s="4"/>
      <c r="I13" s="4"/>
      <c r="J13" s="4"/>
    </row>
    <row r="14" spans="2:12" s="8" customFormat="1" ht="15" x14ac:dyDescent="0.25">
      <c r="B14" s="744" t="s">
        <v>5</v>
      </c>
      <c r="C14" s="744"/>
      <c r="D14" s="7"/>
      <c r="E14" s="7"/>
      <c r="F14" s="7"/>
      <c r="G14" s="7"/>
      <c r="H14" s="7"/>
      <c r="I14" s="7"/>
      <c r="J14" s="7"/>
    </row>
    <row r="15" spans="2:12" s="5" customFormat="1" ht="24.75" customHeight="1" x14ac:dyDescent="0.2">
      <c r="B15" s="745" t="s">
        <v>6</v>
      </c>
      <c r="C15" s="746"/>
      <c r="D15" s="4"/>
      <c r="E15" s="4"/>
      <c r="F15" s="4"/>
      <c r="G15" s="4"/>
      <c r="H15" s="4"/>
      <c r="I15" s="4"/>
      <c r="J15" s="4"/>
    </row>
    <row r="16" spans="2:12" s="5" customFormat="1" ht="12.75" customHeight="1" x14ac:dyDescent="0.2">
      <c r="D16" s="4"/>
      <c r="E16" s="4"/>
      <c r="F16" s="4"/>
      <c r="G16" s="4"/>
      <c r="H16" s="4"/>
      <c r="I16" s="4"/>
      <c r="J16" s="4"/>
    </row>
    <row r="17" spans="2:10" s="8" customFormat="1" ht="15" x14ac:dyDescent="0.25">
      <c r="B17" s="744" t="s">
        <v>7</v>
      </c>
      <c r="C17" s="744"/>
      <c r="D17" s="7"/>
      <c r="E17" s="7"/>
      <c r="F17" s="7"/>
      <c r="G17" s="7"/>
      <c r="H17" s="7"/>
      <c r="I17" s="7"/>
      <c r="J17" s="7"/>
    </row>
    <row r="18" spans="2:10" s="5" customFormat="1" ht="60.95" customHeight="1" x14ac:dyDescent="0.2">
      <c r="B18" s="743" t="s">
        <v>8</v>
      </c>
      <c r="C18" s="743"/>
      <c r="D18" s="4"/>
      <c r="E18" s="4"/>
      <c r="F18" s="4"/>
      <c r="G18" s="4"/>
      <c r="H18" s="4"/>
      <c r="I18" s="4"/>
      <c r="J18" s="4"/>
    </row>
    <row r="19" spans="2:10" s="5" customFormat="1" ht="12.75" customHeight="1" x14ac:dyDescent="0.2">
      <c r="D19" s="4"/>
      <c r="E19" s="4"/>
      <c r="F19" s="4"/>
      <c r="G19" s="4"/>
      <c r="H19" s="4"/>
      <c r="I19" s="4"/>
      <c r="J19" s="4"/>
    </row>
    <row r="20" spans="2:10" s="5" customFormat="1" ht="21.75" customHeight="1" x14ac:dyDescent="0.2">
      <c r="B20" s="6"/>
      <c r="C20" s="6"/>
      <c r="D20" s="4"/>
      <c r="E20" s="4"/>
      <c r="F20" s="4"/>
      <c r="G20" s="4"/>
      <c r="H20" s="4"/>
      <c r="I20" s="4"/>
      <c r="J20" s="4"/>
    </row>
    <row r="21" spans="2:10" s="5" customFormat="1" ht="15" x14ac:dyDescent="0.2">
      <c r="B21" s="744" t="s">
        <v>9</v>
      </c>
      <c r="C21" s="744"/>
      <c r="D21" s="4"/>
      <c r="E21" s="4"/>
      <c r="F21" s="4"/>
      <c r="G21" s="4"/>
      <c r="H21" s="4"/>
      <c r="I21" s="4"/>
      <c r="J21" s="4"/>
    </row>
    <row r="22" spans="2:10" s="5" customFormat="1" ht="68.099999999999994" customHeight="1" x14ac:dyDescent="0.2">
      <c r="B22" s="747" t="s">
        <v>1358</v>
      </c>
      <c r="C22" s="747"/>
      <c r="D22" s="4"/>
      <c r="E22" s="4"/>
      <c r="F22" s="4"/>
      <c r="G22" s="4"/>
      <c r="H22" s="4"/>
      <c r="I22" s="4"/>
      <c r="J22" s="4"/>
    </row>
    <row r="23" spans="2:10" s="5" customFormat="1" ht="30.95" customHeight="1" x14ac:dyDescent="0.2">
      <c r="B23" s="9"/>
      <c r="C23" s="9"/>
      <c r="D23" s="4"/>
      <c r="E23" s="4"/>
      <c r="F23" s="4"/>
      <c r="G23" s="4"/>
      <c r="H23" s="4"/>
      <c r="I23" s="4"/>
      <c r="J23" s="4"/>
    </row>
    <row r="24" spans="2:10" s="5" customFormat="1" ht="18.75" customHeight="1" x14ac:dyDescent="0.2">
      <c r="B24" s="10" t="s">
        <v>10</v>
      </c>
      <c r="C24" s="10" t="s">
        <v>11</v>
      </c>
      <c r="D24" s="4"/>
      <c r="E24" s="4"/>
      <c r="F24" s="4"/>
      <c r="G24" s="4"/>
      <c r="H24" s="4"/>
      <c r="I24" s="4"/>
      <c r="J24" s="4"/>
    </row>
    <row r="25" spans="2:10" s="5" customFormat="1" ht="45" x14ac:dyDescent="0.2">
      <c r="B25" s="11" t="s">
        <v>12</v>
      </c>
      <c r="C25" s="12" t="s">
        <v>1366</v>
      </c>
      <c r="D25" s="4"/>
      <c r="E25" s="4"/>
      <c r="F25" s="4"/>
      <c r="G25" s="4"/>
      <c r="H25" s="4"/>
      <c r="I25" s="4"/>
      <c r="J25" s="4"/>
    </row>
    <row r="26" spans="2:10" s="5" customFormat="1" ht="95.45" customHeight="1" x14ac:dyDescent="0.2">
      <c r="B26" s="13" t="s">
        <v>13</v>
      </c>
      <c r="C26" s="14" t="s">
        <v>1367</v>
      </c>
      <c r="D26" s="4"/>
      <c r="E26" s="4"/>
      <c r="F26" s="4"/>
      <c r="G26" s="4"/>
      <c r="H26" s="4"/>
      <c r="I26" s="4"/>
      <c r="J26" s="4"/>
    </row>
    <row r="27" spans="2:10" s="5" customFormat="1" ht="42" customHeight="1" x14ac:dyDescent="0.2">
      <c r="B27" s="10" t="s">
        <v>14</v>
      </c>
      <c r="C27" s="14" t="s">
        <v>62</v>
      </c>
      <c r="D27" s="4"/>
      <c r="E27" s="4"/>
      <c r="F27" s="4"/>
      <c r="G27" s="4"/>
      <c r="H27" s="4"/>
      <c r="I27" s="4"/>
      <c r="J27" s="4"/>
    </row>
    <row r="28" spans="2:10" s="5" customFormat="1" ht="48" customHeight="1" x14ac:dyDescent="0.2">
      <c r="B28" s="10" t="s">
        <v>15</v>
      </c>
      <c r="C28" s="14" t="s">
        <v>16</v>
      </c>
      <c r="D28" s="4"/>
      <c r="E28" s="4"/>
      <c r="F28" s="4"/>
      <c r="G28" s="4"/>
      <c r="H28" s="4"/>
      <c r="I28" s="4"/>
      <c r="J28" s="4"/>
    </row>
    <row r="29" spans="2:10" s="5" customFormat="1" ht="27.75" customHeight="1" x14ac:dyDescent="0.2">
      <c r="B29" s="6"/>
      <c r="C29" s="6"/>
      <c r="D29" s="4"/>
      <c r="E29" s="4"/>
      <c r="F29" s="4"/>
      <c r="G29" s="4"/>
      <c r="H29" s="4"/>
      <c r="I29" s="4"/>
      <c r="J29" s="4"/>
    </row>
    <row r="30" spans="2:10" s="15" customFormat="1" ht="29.1" customHeight="1" x14ac:dyDescent="0.25">
      <c r="B30" s="748" t="s">
        <v>17</v>
      </c>
      <c r="C30" s="749"/>
    </row>
    <row r="31" spans="2:10" s="5" customFormat="1" ht="48.6" customHeight="1" x14ac:dyDescent="0.2">
      <c r="B31" s="743" t="s">
        <v>18</v>
      </c>
      <c r="C31" s="743"/>
      <c r="D31" s="4"/>
      <c r="E31" s="4"/>
      <c r="F31" s="4"/>
      <c r="G31" s="4"/>
      <c r="H31" s="4"/>
      <c r="I31" s="4"/>
      <c r="J31" s="4"/>
    </row>
    <row r="32" spans="2:10" ht="15" x14ac:dyDescent="0.25">
      <c r="B32" s="16" t="s">
        <v>10</v>
      </c>
      <c r="C32" s="16" t="s">
        <v>11</v>
      </c>
    </row>
    <row r="33" spans="2:10" ht="45" x14ac:dyDescent="0.2">
      <c r="B33" s="17" t="s">
        <v>19</v>
      </c>
      <c r="C33" s="18" t="s">
        <v>1368</v>
      </c>
      <c r="D33" s="2"/>
      <c r="E33" s="2"/>
      <c r="F33" s="2"/>
      <c r="G33" s="2"/>
      <c r="H33" s="2"/>
      <c r="I33" s="2"/>
      <c r="J33" s="2"/>
    </row>
    <row r="34" spans="2:10" ht="30" x14ac:dyDescent="0.2">
      <c r="B34" s="13" t="s">
        <v>20</v>
      </c>
      <c r="C34" s="18" t="s">
        <v>21</v>
      </c>
      <c r="D34" s="2"/>
      <c r="E34" s="2"/>
      <c r="F34" s="2"/>
      <c r="G34" s="2"/>
      <c r="H34" s="2"/>
      <c r="I34" s="2"/>
      <c r="J34" s="2"/>
    </row>
    <row r="35" spans="2:10" ht="75.95" customHeight="1" x14ac:dyDescent="0.2">
      <c r="B35" s="13" t="s">
        <v>22</v>
      </c>
      <c r="C35" s="14" t="s">
        <v>1369</v>
      </c>
    </row>
    <row r="36" spans="2:10" ht="72" customHeight="1" x14ac:dyDescent="0.2">
      <c r="B36" s="13" t="s">
        <v>23</v>
      </c>
      <c r="C36" s="14" t="s">
        <v>1370</v>
      </c>
    </row>
    <row r="37" spans="2:10" ht="73.5" customHeight="1" x14ac:dyDescent="0.2">
      <c r="B37" s="13" t="s">
        <v>24</v>
      </c>
      <c r="C37" s="12" t="s">
        <v>1371</v>
      </c>
    </row>
    <row r="38" spans="2:10" ht="42" customHeight="1" x14ac:dyDescent="0.2">
      <c r="B38" s="10" t="s">
        <v>25</v>
      </c>
      <c r="C38" s="18" t="s">
        <v>26</v>
      </c>
    </row>
    <row r="39" spans="2:10" ht="25.5" customHeight="1" x14ac:dyDescent="0.2">
      <c r="B39" s="750"/>
      <c r="C39" s="750"/>
    </row>
    <row r="40" spans="2:10" ht="30" customHeight="1" x14ac:dyDescent="0.2">
      <c r="B40" s="744" t="s">
        <v>1372</v>
      </c>
      <c r="C40" s="744"/>
    </row>
    <row r="41" spans="2:10" ht="35.25" customHeight="1" x14ac:dyDescent="0.2">
      <c r="B41" s="741" t="s">
        <v>1373</v>
      </c>
      <c r="C41" s="742"/>
    </row>
    <row r="42" spans="2:10" ht="13.5" customHeight="1" x14ac:dyDescent="0.2">
      <c r="B42" s="10" t="s">
        <v>10</v>
      </c>
      <c r="C42" s="10" t="s">
        <v>11</v>
      </c>
    </row>
    <row r="43" spans="2:10" ht="45" customHeight="1" x14ac:dyDescent="0.2">
      <c r="B43" s="19" t="s">
        <v>27</v>
      </c>
      <c r="C43" s="20" t="s">
        <v>63</v>
      </c>
    </row>
    <row r="44" spans="2:10" ht="32.25" customHeight="1" x14ac:dyDescent="0.2">
      <c r="B44" s="19" t="s">
        <v>28</v>
      </c>
      <c r="C44" s="689" t="s">
        <v>1374</v>
      </c>
    </row>
    <row r="45" spans="2:10" ht="20.25" customHeight="1" x14ac:dyDescent="0.2">
      <c r="B45" s="21" t="s">
        <v>29</v>
      </c>
      <c r="C45" s="22" t="s">
        <v>30</v>
      </c>
    </row>
    <row r="46" spans="2:10" ht="58.5" customHeight="1" x14ac:dyDescent="0.2">
      <c r="B46" s="23" t="s">
        <v>31</v>
      </c>
      <c r="C46" s="22" t="s">
        <v>64</v>
      </c>
    </row>
    <row r="47" spans="2:10" ht="36.75" customHeight="1" x14ac:dyDescent="0.2">
      <c r="B47" s="23" t="s">
        <v>32</v>
      </c>
      <c r="C47" s="22" t="s">
        <v>33</v>
      </c>
    </row>
    <row r="48" spans="2:10" ht="96" customHeight="1" x14ac:dyDescent="0.2">
      <c r="B48" s="21" t="s">
        <v>34</v>
      </c>
      <c r="C48" s="24" t="s">
        <v>35</v>
      </c>
    </row>
  </sheetData>
  <sheetProtection algorithmName="SHA-512" hashValue="lV8HD6Hh7vxDH0j8XHt6K7EjUEHJlDpNf9yaBpZkXy5pS/Ww/j6xMcrpApznQwSBajrYt7vBtJS8p1BtzmUQsA==" saltValue="cL4+WM0maTi+P+wzrAIh5Q==" spinCount="100000" sheet="1" objects="1" scenarios="1"/>
  <mergeCells count="18">
    <mergeCell ref="B10:C10"/>
    <mergeCell ref="B1:C1"/>
    <mergeCell ref="B2:C2"/>
    <mergeCell ref="B3:C4"/>
    <mergeCell ref="B6:C6"/>
    <mergeCell ref="B7:C8"/>
    <mergeCell ref="B41:C41"/>
    <mergeCell ref="B11:C12"/>
    <mergeCell ref="B14:C14"/>
    <mergeCell ref="B15:C15"/>
    <mergeCell ref="B17:C17"/>
    <mergeCell ref="B18:C18"/>
    <mergeCell ref="B21:C21"/>
    <mergeCell ref="B22:C22"/>
    <mergeCell ref="B30:C30"/>
    <mergeCell ref="B31:C31"/>
    <mergeCell ref="B39:C39"/>
    <mergeCell ref="B40:C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zoomScale="80" zoomScaleNormal="80" workbookViewId="0">
      <selection activeCell="E1" sqref="E1:O3"/>
    </sheetView>
  </sheetViews>
  <sheetFormatPr baseColWidth="10" defaultColWidth="10.85546875" defaultRowHeight="14.25" x14ac:dyDescent="0.2"/>
  <cols>
    <col min="1" max="1" width="0.85546875" style="25" customWidth="1"/>
    <col min="2" max="2" width="23" style="25" customWidth="1"/>
    <col min="3" max="3" width="18.42578125" style="25" customWidth="1"/>
    <col min="4" max="4" width="12.5703125" style="25" customWidth="1"/>
    <col min="5" max="5" width="11.28515625" style="25" customWidth="1"/>
    <col min="6" max="6" width="13.7109375" style="25" customWidth="1"/>
    <col min="7" max="8" width="13.140625" style="25" customWidth="1"/>
    <col min="9" max="9" width="12.28515625" style="25" customWidth="1"/>
    <col min="10" max="14" width="8.28515625" style="25" customWidth="1"/>
    <col min="15" max="15" width="12.140625" style="25" customWidth="1"/>
    <col min="16" max="16" width="16.5703125" style="25" customWidth="1"/>
    <col min="17" max="17" width="19.140625" style="25" customWidth="1"/>
    <col min="18" max="18" width="3" style="26" customWidth="1"/>
    <col min="19" max="19" width="5.5703125" style="26" bestFit="1" customWidth="1"/>
    <col min="20" max="22" width="2.85546875" style="26" customWidth="1"/>
    <col min="23" max="26" width="11.140625" style="26" bestFit="1" customWidth="1"/>
    <col min="27" max="16384" width="10.85546875" style="26"/>
  </cols>
  <sheetData>
    <row r="1" spans="1:26" ht="15" customHeight="1" x14ac:dyDescent="0.2">
      <c r="B1" s="785"/>
      <c r="C1" s="786"/>
      <c r="D1" s="786"/>
      <c r="E1" s="791" t="s">
        <v>36</v>
      </c>
      <c r="F1" s="792"/>
      <c r="G1" s="792"/>
      <c r="H1" s="792"/>
      <c r="I1" s="792"/>
      <c r="J1" s="792"/>
      <c r="K1" s="792"/>
      <c r="L1" s="792"/>
      <c r="M1" s="792"/>
      <c r="N1" s="792"/>
      <c r="O1" s="792"/>
      <c r="P1" s="793"/>
      <c r="Q1" s="794"/>
    </row>
    <row r="2" spans="1:26" x14ac:dyDescent="0.2">
      <c r="B2" s="787"/>
      <c r="C2" s="788"/>
      <c r="D2" s="788"/>
      <c r="E2" s="792"/>
      <c r="F2" s="792"/>
      <c r="G2" s="792"/>
      <c r="H2" s="792"/>
      <c r="I2" s="792"/>
      <c r="J2" s="792"/>
      <c r="K2" s="792"/>
      <c r="L2" s="792"/>
      <c r="M2" s="792"/>
      <c r="N2" s="792"/>
      <c r="O2" s="792"/>
      <c r="P2" s="793"/>
      <c r="Q2" s="794"/>
    </row>
    <row r="3" spans="1:26" ht="28.5" customHeight="1" x14ac:dyDescent="0.2">
      <c r="B3" s="789"/>
      <c r="C3" s="790"/>
      <c r="D3" s="790"/>
      <c r="E3" s="792"/>
      <c r="F3" s="792"/>
      <c r="G3" s="792"/>
      <c r="H3" s="792"/>
      <c r="I3" s="792"/>
      <c r="J3" s="792"/>
      <c r="K3" s="792"/>
      <c r="L3" s="792"/>
      <c r="M3" s="792"/>
      <c r="N3" s="792"/>
      <c r="O3" s="792"/>
      <c r="P3" s="793"/>
      <c r="Q3" s="794"/>
    </row>
    <row r="4" spans="1:26" ht="28.5" customHeight="1" x14ac:dyDescent="0.2">
      <c r="B4" s="27"/>
      <c r="C4" s="27"/>
      <c r="D4" s="27"/>
      <c r="E4" s="28"/>
      <c r="F4" s="28"/>
      <c r="G4" s="28"/>
      <c r="H4" s="28"/>
      <c r="I4" s="28"/>
      <c r="J4" s="28"/>
      <c r="K4" s="28"/>
      <c r="L4" s="28"/>
      <c r="M4" s="28"/>
      <c r="N4" s="28"/>
      <c r="O4" s="28"/>
      <c r="P4" s="27"/>
      <c r="Q4" s="27"/>
    </row>
    <row r="5" spans="1:26" ht="50.1" customHeight="1" x14ac:dyDescent="0.2">
      <c r="B5" s="770" t="s">
        <v>1</v>
      </c>
      <c r="C5" s="771"/>
      <c r="D5" s="771"/>
      <c r="E5" s="783" t="s">
        <v>37</v>
      </c>
      <c r="F5" s="784"/>
      <c r="G5" s="784"/>
      <c r="H5" s="784"/>
      <c r="I5" s="784"/>
      <c r="J5" s="784"/>
      <c r="K5" s="784"/>
      <c r="L5" s="784"/>
      <c r="M5" s="784"/>
      <c r="N5" s="784"/>
      <c r="O5" s="784"/>
      <c r="P5" s="27"/>
      <c r="Q5" s="27"/>
    </row>
    <row r="6" spans="1:26" ht="69" customHeight="1" x14ac:dyDescent="0.2">
      <c r="B6" s="770" t="s">
        <v>38</v>
      </c>
      <c r="C6" s="771"/>
      <c r="D6" s="771"/>
      <c r="E6" s="783" t="s">
        <v>39</v>
      </c>
      <c r="F6" s="784"/>
      <c r="G6" s="784"/>
      <c r="H6" s="784"/>
      <c r="I6" s="784"/>
      <c r="J6" s="784"/>
      <c r="K6" s="784"/>
      <c r="L6" s="784"/>
      <c r="M6" s="784"/>
      <c r="N6" s="784"/>
      <c r="O6" s="784"/>
      <c r="P6" s="27"/>
      <c r="Q6" s="27"/>
    </row>
    <row r="7" spans="1:26" ht="78.599999999999994" customHeight="1" x14ac:dyDescent="0.2">
      <c r="B7" s="770" t="s">
        <v>40</v>
      </c>
      <c r="C7" s="771"/>
      <c r="D7" s="771"/>
      <c r="E7" s="783" t="s">
        <v>41</v>
      </c>
      <c r="F7" s="784"/>
      <c r="G7" s="784"/>
      <c r="H7" s="784"/>
      <c r="I7" s="784"/>
      <c r="J7" s="784"/>
      <c r="K7" s="784"/>
      <c r="L7" s="784"/>
      <c r="M7" s="784"/>
      <c r="N7" s="784"/>
      <c r="O7" s="784"/>
      <c r="P7" s="27"/>
      <c r="Q7" s="27"/>
    </row>
    <row r="8" spans="1:26" ht="87" customHeight="1" x14ac:dyDescent="0.2">
      <c r="B8" s="770" t="s">
        <v>42</v>
      </c>
      <c r="C8" s="771"/>
      <c r="D8" s="771"/>
      <c r="E8" s="783" t="s">
        <v>402</v>
      </c>
      <c r="F8" s="784"/>
      <c r="G8" s="784"/>
      <c r="H8" s="784"/>
      <c r="I8" s="784"/>
      <c r="J8" s="784"/>
      <c r="K8" s="784"/>
      <c r="L8" s="784"/>
      <c r="M8" s="784"/>
      <c r="N8" s="784"/>
      <c r="O8" s="784"/>
      <c r="P8" s="27"/>
      <c r="Q8" s="27"/>
    </row>
    <row r="9" spans="1:26" ht="219.95" customHeight="1" x14ac:dyDescent="0.2">
      <c r="B9" s="770" t="s">
        <v>43</v>
      </c>
      <c r="C9" s="771"/>
      <c r="D9" s="771"/>
      <c r="E9" s="783" t="s">
        <v>44</v>
      </c>
      <c r="F9" s="784"/>
      <c r="G9" s="784"/>
      <c r="H9" s="784"/>
      <c r="I9" s="784"/>
      <c r="J9" s="784"/>
      <c r="K9" s="784"/>
      <c r="L9" s="784"/>
      <c r="M9" s="784"/>
      <c r="N9" s="784"/>
      <c r="O9" s="784"/>
      <c r="P9" s="27"/>
      <c r="Q9" s="27"/>
    </row>
    <row r="10" spans="1:26" s="1" customFormat="1" ht="124.5" customHeight="1" x14ac:dyDescent="0.2">
      <c r="A10" s="29"/>
      <c r="B10" s="770" t="s">
        <v>45</v>
      </c>
      <c r="C10" s="771"/>
      <c r="D10" s="771"/>
      <c r="E10" s="772" t="s">
        <v>46</v>
      </c>
      <c r="F10" s="773"/>
      <c r="G10" s="773"/>
      <c r="H10" s="773"/>
      <c r="I10" s="773"/>
      <c r="J10" s="773"/>
      <c r="K10" s="773"/>
      <c r="L10" s="773"/>
      <c r="M10" s="773"/>
      <c r="N10" s="773"/>
      <c r="O10" s="773"/>
      <c r="P10" s="30"/>
      <c r="Q10" s="30"/>
    </row>
    <row r="11" spans="1:26" ht="39.6" customHeight="1" x14ac:dyDescent="0.2">
      <c r="B11" s="27"/>
      <c r="C11" s="27"/>
      <c r="D11" s="27"/>
      <c r="E11" s="31"/>
      <c r="F11" s="31"/>
      <c r="G11" s="31"/>
      <c r="H11" s="31"/>
      <c r="I11" s="31"/>
      <c r="J11" s="31"/>
      <c r="K11" s="31"/>
      <c r="L11" s="31"/>
      <c r="M11" s="31"/>
      <c r="N11" s="31"/>
      <c r="O11" s="31"/>
      <c r="P11" s="27"/>
      <c r="Q11" s="27"/>
    </row>
    <row r="12" spans="1:26" ht="20.100000000000001" customHeight="1" x14ac:dyDescent="0.25">
      <c r="B12" s="774" t="s">
        <v>47</v>
      </c>
      <c r="C12" s="775"/>
      <c r="D12" s="775"/>
      <c r="E12" s="775"/>
      <c r="F12" s="775"/>
      <c r="G12" s="775"/>
      <c r="H12" s="775"/>
      <c r="I12" s="775"/>
      <c r="J12" s="775"/>
      <c r="K12" s="775"/>
      <c r="L12" s="775"/>
      <c r="M12" s="775"/>
      <c r="N12" s="775"/>
      <c r="O12" s="775"/>
      <c r="P12" s="27"/>
      <c r="Q12" s="27"/>
    </row>
    <row r="14" spans="1:26" ht="48" customHeight="1" x14ac:dyDescent="0.2">
      <c r="B14" s="776" t="s">
        <v>48</v>
      </c>
      <c r="C14" s="777"/>
      <c r="D14" s="777"/>
      <c r="E14" s="778" t="s">
        <v>1375</v>
      </c>
      <c r="F14" s="779"/>
      <c r="G14" s="779"/>
      <c r="H14" s="779"/>
      <c r="I14" s="779"/>
      <c r="J14" s="779"/>
      <c r="K14" s="779"/>
      <c r="L14" s="779"/>
      <c r="M14" s="779"/>
      <c r="N14" s="779"/>
      <c r="O14" s="780"/>
      <c r="P14" s="26"/>
      <c r="Q14" s="26"/>
    </row>
    <row r="15" spans="1:26" ht="26.1" customHeight="1" x14ac:dyDescent="0.2">
      <c r="B15" s="760" t="s">
        <v>49</v>
      </c>
      <c r="C15" s="761"/>
      <c r="D15" s="761"/>
      <c r="E15" s="781" t="s">
        <v>50</v>
      </c>
      <c r="F15" s="782"/>
      <c r="G15" s="782"/>
      <c r="H15" s="782"/>
      <c r="I15" s="782"/>
      <c r="J15" s="782"/>
      <c r="K15" s="782"/>
      <c r="L15" s="782"/>
      <c r="M15" s="782"/>
      <c r="N15" s="782"/>
      <c r="O15" s="742"/>
      <c r="P15" s="26"/>
      <c r="Q15" s="26"/>
    </row>
    <row r="16" spans="1:26" ht="136.5" customHeight="1" x14ac:dyDescent="0.2">
      <c r="A16" s="29"/>
      <c r="B16" s="760" t="s">
        <v>51</v>
      </c>
      <c r="C16" s="761"/>
      <c r="D16" s="761"/>
      <c r="E16" s="762" t="s">
        <v>52</v>
      </c>
      <c r="F16" s="763"/>
      <c r="G16" s="763"/>
      <c r="H16" s="763"/>
      <c r="I16" s="763"/>
      <c r="J16" s="763"/>
      <c r="K16" s="763"/>
      <c r="L16" s="763"/>
      <c r="M16" s="763"/>
      <c r="N16" s="763"/>
      <c r="O16" s="764"/>
      <c r="P16" s="26"/>
      <c r="Q16" s="26"/>
      <c r="Y16" s="32"/>
      <c r="Z16" s="32"/>
    </row>
    <row r="17" spans="1:17" x14ac:dyDescent="0.2">
      <c r="A17" s="29"/>
      <c r="B17" s="765" t="s">
        <v>53</v>
      </c>
      <c r="C17" s="766"/>
      <c r="D17" s="766"/>
      <c r="E17" s="766"/>
      <c r="F17" s="766"/>
      <c r="G17" s="766"/>
      <c r="H17" s="766"/>
      <c r="I17" s="766"/>
      <c r="J17" s="766"/>
      <c r="K17" s="766"/>
      <c r="L17" s="766"/>
      <c r="M17" s="766"/>
      <c r="N17" s="766"/>
      <c r="O17" s="767"/>
      <c r="P17" s="26"/>
      <c r="Q17" s="26"/>
    </row>
    <row r="18" spans="1:17" x14ac:dyDescent="0.2">
      <c r="A18" s="29"/>
      <c r="B18" s="33"/>
      <c r="G18" s="34"/>
      <c r="H18" s="34"/>
      <c r="I18" s="34"/>
      <c r="J18" s="34"/>
      <c r="K18" s="34"/>
      <c r="L18" s="34"/>
      <c r="M18" s="34"/>
      <c r="N18" s="34"/>
      <c r="O18" s="32"/>
      <c r="P18" s="26"/>
      <c r="Q18" s="26"/>
    </row>
    <row r="19" spans="1:17" x14ac:dyDescent="0.2">
      <c r="A19" s="29"/>
      <c r="B19" s="768"/>
      <c r="C19" s="769"/>
      <c r="D19" s="769"/>
      <c r="E19" s="769"/>
      <c r="F19" s="769"/>
      <c r="G19" s="769"/>
      <c r="H19" s="769"/>
      <c r="I19" s="769"/>
      <c r="J19" s="769"/>
      <c r="K19" s="769"/>
      <c r="L19" s="769"/>
      <c r="M19" s="769"/>
      <c r="N19" s="769"/>
      <c r="O19" s="769"/>
      <c r="P19" s="26"/>
      <c r="Q19" s="26"/>
    </row>
    <row r="20" spans="1:17" x14ac:dyDescent="0.2">
      <c r="A20" s="29"/>
      <c r="B20" s="769"/>
      <c r="C20" s="769"/>
      <c r="D20" s="769"/>
      <c r="E20" s="769"/>
      <c r="F20" s="769"/>
      <c r="G20" s="769"/>
      <c r="H20" s="769"/>
      <c r="I20" s="769"/>
      <c r="J20" s="769"/>
      <c r="K20" s="769"/>
      <c r="L20" s="769"/>
      <c r="M20" s="769"/>
      <c r="N20" s="769"/>
      <c r="O20" s="769"/>
      <c r="P20" s="26"/>
      <c r="Q20" s="26"/>
    </row>
    <row r="21" spans="1:17" x14ac:dyDescent="0.2">
      <c r="A21" s="29"/>
      <c r="B21" s="769"/>
      <c r="C21" s="769"/>
      <c r="D21" s="769"/>
      <c r="E21" s="769"/>
      <c r="F21" s="769"/>
      <c r="G21" s="769"/>
      <c r="H21" s="769"/>
      <c r="I21" s="769"/>
      <c r="J21" s="769"/>
      <c r="K21" s="769"/>
      <c r="L21" s="769"/>
      <c r="M21" s="769"/>
      <c r="N21" s="769"/>
      <c r="O21" s="769"/>
      <c r="P21" s="26"/>
      <c r="Q21" s="26"/>
    </row>
    <row r="22" spans="1:17" x14ac:dyDescent="0.2">
      <c r="A22" s="29"/>
      <c r="B22" s="35"/>
      <c r="C22" s="35"/>
      <c r="D22" s="35"/>
      <c r="E22" s="35"/>
      <c r="F22" s="35"/>
      <c r="G22" s="35"/>
      <c r="H22" s="35"/>
      <c r="I22" s="35"/>
      <c r="J22" s="35"/>
      <c r="K22" s="35"/>
      <c r="L22" s="35"/>
      <c r="M22" s="35"/>
      <c r="N22" s="35"/>
      <c r="O22" s="35"/>
      <c r="P22" s="26"/>
      <c r="Q22" s="26"/>
    </row>
    <row r="23" spans="1:17" x14ac:dyDescent="0.2">
      <c r="A23" s="29"/>
      <c r="B23" s="36"/>
      <c r="G23" s="34"/>
      <c r="H23" s="34"/>
      <c r="I23" s="34"/>
      <c r="J23" s="34"/>
      <c r="K23" s="34"/>
      <c r="L23" s="34"/>
      <c r="M23" s="34"/>
      <c r="N23" s="34"/>
      <c r="O23" s="34"/>
      <c r="P23" s="26"/>
      <c r="Q23" s="26"/>
    </row>
  </sheetData>
  <sheetProtection algorithmName="SHA-512" hashValue="VC+EebKVB8CWw9y8kOqRK4h13kZHx9E0o1HoTVHbsaIUajshG4JBWPBOfHTO0B2eSZ5Fq6EuHmEU8vPuwVt6dw==" saltValue="H7LdAJoRBFn/1DKauErPxg==" spinCount="100000" sheet="1" objects="1" scenarios="1"/>
  <mergeCells count="24">
    <mergeCell ref="B6:D6"/>
    <mergeCell ref="E6:O6"/>
    <mergeCell ref="B1:D3"/>
    <mergeCell ref="E1:O3"/>
    <mergeCell ref="P1:Q3"/>
    <mergeCell ref="B5:D5"/>
    <mergeCell ref="E5:O5"/>
    <mergeCell ref="B7:D7"/>
    <mergeCell ref="E7:O7"/>
    <mergeCell ref="B8:D8"/>
    <mergeCell ref="E8:O8"/>
    <mergeCell ref="B9:D9"/>
    <mergeCell ref="E9:O9"/>
    <mergeCell ref="B16:D16"/>
    <mergeCell ref="E16:O16"/>
    <mergeCell ref="B17:O17"/>
    <mergeCell ref="B19:O21"/>
    <mergeCell ref="B10:D10"/>
    <mergeCell ref="E10:O10"/>
    <mergeCell ref="B12:O12"/>
    <mergeCell ref="B14:D14"/>
    <mergeCell ref="E14:O14"/>
    <mergeCell ref="B15:D15"/>
    <mergeCell ref="E15:O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02"/>
  <sheetViews>
    <sheetView showGridLines="0" tabSelected="1" zoomScale="80" zoomScaleNormal="80" workbookViewId="0"/>
  </sheetViews>
  <sheetFormatPr baseColWidth="10" defaultColWidth="10.7109375" defaultRowHeight="14.25" x14ac:dyDescent="0.25"/>
  <cols>
    <col min="1" max="1" width="53.7109375" style="710" customWidth="1"/>
    <col min="2" max="2" width="52.7109375" style="716" customWidth="1"/>
    <col min="3" max="3" width="34.42578125" style="716" customWidth="1"/>
    <col min="4" max="4" width="19.140625" style="717" customWidth="1"/>
    <col min="5" max="7" width="10.7109375" style="710"/>
    <col min="8" max="8" width="13.7109375" style="710" bestFit="1" customWidth="1"/>
    <col min="9" max="16384" width="10.7109375" style="710"/>
  </cols>
  <sheetData>
    <row r="2" spans="1:7" ht="18" x14ac:dyDescent="0.25">
      <c r="B2" s="804" t="s">
        <v>1376</v>
      </c>
      <c r="C2" s="804"/>
      <c r="D2" s="804"/>
      <c r="E2" s="805"/>
      <c r="F2" s="805"/>
      <c r="G2" s="805"/>
    </row>
    <row r="3" spans="1:7" ht="18" x14ac:dyDescent="0.25">
      <c r="B3" s="699"/>
      <c r="C3" s="699"/>
      <c r="D3" s="700"/>
      <c r="E3" s="699"/>
      <c r="F3" s="699"/>
      <c r="G3" s="699"/>
    </row>
    <row r="4" spans="1:7" x14ac:dyDescent="0.25">
      <c r="A4" s="711"/>
      <c r="B4" s="712"/>
      <c r="C4" s="712"/>
      <c r="D4" s="713"/>
    </row>
    <row r="5" spans="1:7" ht="32.1" customHeight="1" x14ac:dyDescent="0.25">
      <c r="A5" s="701" t="s">
        <v>611</v>
      </c>
      <c r="B5" s="799" t="s">
        <v>1150</v>
      </c>
      <c r="C5" s="800"/>
      <c r="D5" s="800"/>
      <c r="E5" s="800"/>
      <c r="F5" s="800"/>
      <c r="G5" s="800"/>
    </row>
    <row r="6" spans="1:7" s="711" customFormat="1" ht="57" customHeight="1" x14ac:dyDescent="0.25">
      <c r="A6" s="702" t="s">
        <v>612</v>
      </c>
      <c r="B6" s="799" t="s">
        <v>1198</v>
      </c>
      <c r="C6" s="800" t="s">
        <v>1151</v>
      </c>
      <c r="D6" s="800" t="s">
        <v>1152</v>
      </c>
      <c r="E6" s="800"/>
      <c r="F6" s="800"/>
      <c r="G6" s="800"/>
    </row>
    <row r="7" spans="1:7" s="711" customFormat="1" ht="57" customHeight="1" x14ac:dyDescent="0.25">
      <c r="A7" s="702" t="s">
        <v>1153</v>
      </c>
      <c r="B7" s="799" t="s">
        <v>1214</v>
      </c>
      <c r="C7" s="800"/>
      <c r="D7" s="800"/>
      <c r="E7" s="800"/>
      <c r="F7" s="800"/>
      <c r="G7" s="800"/>
    </row>
    <row r="8" spans="1:7" s="711" customFormat="1" ht="73.5" customHeight="1" x14ac:dyDescent="0.25">
      <c r="A8" s="701" t="s">
        <v>1154</v>
      </c>
      <c r="B8" s="799" t="s">
        <v>1155</v>
      </c>
      <c r="C8" s="800" t="s">
        <v>1156</v>
      </c>
      <c r="D8" s="800" t="s">
        <v>1157</v>
      </c>
      <c r="E8" s="800"/>
      <c r="F8" s="800"/>
      <c r="G8" s="800"/>
    </row>
    <row r="9" spans="1:7" s="711" customFormat="1" ht="79.5" customHeight="1" x14ac:dyDescent="0.25">
      <c r="A9" s="702" t="s">
        <v>683</v>
      </c>
      <c r="B9" s="799" t="s">
        <v>1158</v>
      </c>
      <c r="C9" s="800"/>
      <c r="D9" s="800"/>
      <c r="E9" s="800"/>
      <c r="F9" s="800"/>
      <c r="G9" s="800"/>
    </row>
    <row r="10" spans="1:7" s="711" customFormat="1" ht="47.45" customHeight="1" x14ac:dyDescent="0.25">
      <c r="A10" s="702" t="s">
        <v>1159</v>
      </c>
      <c r="B10" s="795" t="s">
        <v>1215</v>
      </c>
      <c r="C10" s="796"/>
      <c r="D10" s="796"/>
      <c r="E10" s="796"/>
      <c r="F10" s="796"/>
      <c r="G10" s="796"/>
    </row>
    <row r="11" spans="1:7" ht="27.6" customHeight="1" x14ac:dyDescent="0.25">
      <c r="A11" s="702" t="s">
        <v>1208</v>
      </c>
      <c r="B11" s="795" t="s">
        <v>1199</v>
      </c>
      <c r="C11" s="796"/>
      <c r="D11" s="796"/>
      <c r="E11" s="796"/>
      <c r="F11" s="796"/>
      <c r="G11" s="796"/>
    </row>
    <row r="12" spans="1:7" ht="27.6" customHeight="1" x14ac:dyDescent="0.25">
      <c r="A12" s="702" t="s">
        <v>1209</v>
      </c>
      <c r="B12" s="795" t="s">
        <v>1216</v>
      </c>
      <c r="C12" s="796"/>
      <c r="D12" s="796"/>
      <c r="E12" s="796"/>
      <c r="F12" s="796"/>
      <c r="G12" s="796"/>
    </row>
    <row r="13" spans="1:7" ht="33" customHeight="1" x14ac:dyDescent="0.25">
      <c r="A13" s="702" t="s">
        <v>745</v>
      </c>
      <c r="B13" s="795" t="s">
        <v>1202</v>
      </c>
      <c r="C13" s="796"/>
      <c r="D13" s="796"/>
      <c r="E13" s="796"/>
      <c r="F13" s="796"/>
      <c r="G13" s="796"/>
    </row>
    <row r="14" spans="1:7" ht="30" customHeight="1" x14ac:dyDescent="0.25">
      <c r="A14" s="702" t="s">
        <v>1204</v>
      </c>
      <c r="B14" s="795" t="s">
        <v>1217</v>
      </c>
      <c r="C14" s="796"/>
      <c r="D14" s="796"/>
      <c r="E14" s="796"/>
      <c r="F14" s="796"/>
      <c r="G14" s="796"/>
    </row>
    <row r="15" spans="1:7" ht="33.6" customHeight="1" x14ac:dyDescent="0.25">
      <c r="A15" s="702" t="s">
        <v>753</v>
      </c>
      <c r="B15" s="795" t="s">
        <v>1218</v>
      </c>
      <c r="C15" s="796"/>
      <c r="D15" s="796"/>
      <c r="E15" s="796"/>
      <c r="F15" s="796"/>
      <c r="G15" s="796"/>
    </row>
    <row r="16" spans="1:7" ht="47.45" customHeight="1" x14ac:dyDescent="0.25">
      <c r="A16" s="701" t="s">
        <v>1201</v>
      </c>
      <c r="B16" s="795" t="s">
        <v>1251</v>
      </c>
      <c r="C16" s="796"/>
      <c r="D16" s="796"/>
      <c r="E16" s="796"/>
      <c r="F16" s="796"/>
      <c r="G16" s="796"/>
    </row>
    <row r="17" spans="1:18" s="714" customFormat="1" ht="47.1" customHeight="1" x14ac:dyDescent="0.25">
      <c r="A17" s="703" t="s">
        <v>1211</v>
      </c>
      <c r="B17" s="812" t="s">
        <v>1252</v>
      </c>
      <c r="C17" s="813"/>
      <c r="D17" s="813"/>
      <c r="E17" s="813"/>
      <c r="F17" s="813"/>
      <c r="G17" s="813"/>
    </row>
    <row r="18" spans="1:18" s="714" customFormat="1" ht="33.6" customHeight="1" x14ac:dyDescent="0.25">
      <c r="A18" s="703" t="s">
        <v>1212</v>
      </c>
      <c r="B18" s="812" t="s">
        <v>1253</v>
      </c>
      <c r="C18" s="813"/>
      <c r="D18" s="813"/>
      <c r="E18" s="813"/>
      <c r="F18" s="813"/>
      <c r="G18" s="813"/>
    </row>
    <row r="19" spans="1:18" s="711" customFormat="1" ht="46.5" customHeight="1" x14ac:dyDescent="0.25">
      <c r="A19" s="701" t="s">
        <v>1210</v>
      </c>
      <c r="B19" s="795" t="s">
        <v>1213</v>
      </c>
      <c r="C19" s="796"/>
      <c r="D19" s="796"/>
      <c r="E19" s="796"/>
      <c r="F19" s="796"/>
      <c r="G19" s="796"/>
    </row>
    <row r="20" spans="1:18" ht="43.5" customHeight="1" x14ac:dyDescent="0.25">
      <c r="A20" s="704" t="s">
        <v>809</v>
      </c>
      <c r="B20" s="795" t="s">
        <v>1219</v>
      </c>
      <c r="C20" s="796"/>
      <c r="D20" s="796"/>
      <c r="E20" s="796"/>
      <c r="F20" s="796"/>
      <c r="G20" s="796"/>
      <c r="I20" s="711"/>
      <c r="J20" s="711"/>
      <c r="K20" s="711"/>
      <c r="L20" s="711"/>
      <c r="M20" s="711"/>
      <c r="N20" s="711"/>
      <c r="O20" s="711"/>
      <c r="P20" s="711"/>
      <c r="Q20" s="711"/>
      <c r="R20" s="711"/>
    </row>
    <row r="21" spans="1:18" s="711" customFormat="1" ht="66.599999999999994" customHeight="1" x14ac:dyDescent="0.25">
      <c r="A21" s="705" t="s">
        <v>818</v>
      </c>
      <c r="B21" s="795" t="s">
        <v>1220</v>
      </c>
      <c r="C21" s="796"/>
      <c r="D21" s="796"/>
      <c r="E21" s="796"/>
      <c r="F21" s="796"/>
      <c r="G21" s="796"/>
    </row>
    <row r="22" spans="1:18" s="711" customFormat="1" ht="80.45" customHeight="1" x14ac:dyDescent="0.25">
      <c r="A22" s="706" t="s">
        <v>828</v>
      </c>
      <c r="B22" s="795" t="s">
        <v>1222</v>
      </c>
      <c r="C22" s="796"/>
      <c r="D22" s="796"/>
      <c r="E22" s="796"/>
      <c r="F22" s="796"/>
      <c r="G22" s="796"/>
    </row>
    <row r="23" spans="1:18" s="711" customFormat="1" ht="66.599999999999994" customHeight="1" x14ac:dyDescent="0.25">
      <c r="A23" s="705" t="s">
        <v>837</v>
      </c>
      <c r="B23" s="795" t="s">
        <v>1223</v>
      </c>
      <c r="C23" s="796"/>
      <c r="D23" s="796"/>
      <c r="E23" s="796"/>
      <c r="F23" s="796"/>
      <c r="G23" s="796"/>
      <c r="H23" s="713"/>
    </row>
    <row r="24" spans="1:18" ht="43.5" customHeight="1" x14ac:dyDescent="0.25">
      <c r="A24" s="704" t="s">
        <v>1224</v>
      </c>
      <c r="B24" s="795" t="s">
        <v>1226</v>
      </c>
      <c r="C24" s="796"/>
      <c r="D24" s="796"/>
      <c r="E24" s="796"/>
      <c r="F24" s="796"/>
      <c r="G24" s="796"/>
      <c r="I24" s="711"/>
      <c r="J24" s="711"/>
      <c r="K24" s="711"/>
      <c r="L24" s="711"/>
      <c r="M24" s="711"/>
      <c r="N24" s="711"/>
      <c r="O24" s="711"/>
      <c r="P24" s="711"/>
      <c r="Q24" s="711"/>
      <c r="R24" s="711"/>
    </row>
    <row r="25" spans="1:18" s="711" customFormat="1" ht="66.599999999999994" customHeight="1" x14ac:dyDescent="0.25">
      <c r="A25" s="705" t="s">
        <v>1229</v>
      </c>
      <c r="B25" s="795" t="s">
        <v>1230</v>
      </c>
      <c r="C25" s="796"/>
      <c r="D25" s="796"/>
      <c r="E25" s="796"/>
      <c r="F25" s="796"/>
      <c r="G25" s="796"/>
    </row>
    <row r="26" spans="1:18" ht="25.5" customHeight="1" x14ac:dyDescent="0.25">
      <c r="A26" s="707"/>
      <c r="B26" s="715"/>
      <c r="C26" s="708"/>
      <c r="D26" s="708"/>
      <c r="E26" s="708"/>
      <c r="F26" s="708"/>
      <c r="G26" s="708"/>
      <c r="I26" s="711"/>
      <c r="J26" s="711"/>
      <c r="K26" s="711"/>
      <c r="L26" s="711"/>
      <c r="M26" s="711"/>
      <c r="N26" s="711"/>
      <c r="O26" s="711"/>
      <c r="P26" s="711"/>
      <c r="Q26" s="711"/>
      <c r="R26" s="711"/>
    </row>
    <row r="27" spans="1:18" x14ac:dyDescent="0.25">
      <c r="A27" s="707"/>
    </row>
    <row r="28" spans="1:18" ht="15" x14ac:dyDescent="0.25">
      <c r="A28" s="718" t="s">
        <v>850</v>
      </c>
      <c r="B28" s="710"/>
      <c r="C28" s="710"/>
      <c r="D28" s="719"/>
    </row>
    <row r="29" spans="1:18" ht="30.75" customHeight="1" x14ac:dyDescent="0.25">
      <c r="A29" s="707" t="s">
        <v>851</v>
      </c>
      <c r="B29" s="795" t="s">
        <v>1160</v>
      </c>
      <c r="C29" s="796"/>
      <c r="D29" s="796"/>
      <c r="E29" s="796"/>
      <c r="F29" s="796"/>
      <c r="G29" s="796"/>
    </row>
    <row r="30" spans="1:18" ht="32.25" customHeight="1" x14ac:dyDescent="0.25">
      <c r="A30" s="704" t="s">
        <v>852</v>
      </c>
      <c r="B30" s="795" t="s">
        <v>1161</v>
      </c>
      <c r="C30" s="796"/>
      <c r="D30" s="796"/>
      <c r="E30" s="796"/>
      <c r="F30" s="796"/>
      <c r="G30" s="796"/>
    </row>
    <row r="31" spans="1:18" ht="33" customHeight="1" x14ac:dyDescent="0.25">
      <c r="A31" s="704" t="s">
        <v>853</v>
      </c>
      <c r="B31" s="795" t="s">
        <v>1162</v>
      </c>
      <c r="C31" s="796"/>
      <c r="D31" s="796"/>
      <c r="E31" s="796"/>
      <c r="F31" s="796"/>
      <c r="G31" s="796"/>
    </row>
    <row r="32" spans="1:18" x14ac:dyDescent="0.25">
      <c r="B32" s="710"/>
      <c r="C32" s="710"/>
    </row>
    <row r="33" spans="1:7" ht="15" x14ac:dyDescent="0.25">
      <c r="A33" s="720" t="s">
        <v>855</v>
      </c>
      <c r="B33" s="710"/>
      <c r="C33" s="710"/>
      <c r="D33" s="719"/>
    </row>
    <row r="34" spans="1:7" ht="91.5" customHeight="1" x14ac:dyDescent="0.25">
      <c r="A34" s="704" t="s">
        <v>857</v>
      </c>
      <c r="B34" s="795" t="s">
        <v>1232</v>
      </c>
      <c r="C34" s="796"/>
      <c r="D34" s="796"/>
      <c r="E34" s="796"/>
      <c r="F34" s="796"/>
      <c r="G34" s="796"/>
    </row>
    <row r="35" spans="1:7" ht="48" customHeight="1" x14ac:dyDescent="0.25">
      <c r="A35" s="704" t="s">
        <v>1233</v>
      </c>
      <c r="B35" s="795" t="s">
        <v>1234</v>
      </c>
      <c r="C35" s="796"/>
      <c r="D35" s="796"/>
      <c r="E35" s="796"/>
      <c r="F35" s="796"/>
      <c r="G35" s="796"/>
    </row>
    <row r="36" spans="1:7" ht="50.25" customHeight="1" x14ac:dyDescent="0.25">
      <c r="A36" s="704" t="s">
        <v>859</v>
      </c>
      <c r="B36" s="795" t="s">
        <v>1163</v>
      </c>
      <c r="C36" s="796"/>
      <c r="D36" s="796"/>
      <c r="E36" s="796"/>
      <c r="F36" s="796"/>
      <c r="G36" s="796"/>
    </row>
    <row r="37" spans="1:7" ht="45.75" customHeight="1" x14ac:dyDescent="0.25">
      <c r="A37" s="704" t="s">
        <v>860</v>
      </c>
      <c r="B37" s="795" t="s">
        <v>1164</v>
      </c>
      <c r="C37" s="796"/>
      <c r="D37" s="796"/>
      <c r="E37" s="796"/>
      <c r="F37" s="796"/>
      <c r="G37" s="796"/>
    </row>
    <row r="38" spans="1:7" ht="60" customHeight="1" x14ac:dyDescent="0.25">
      <c r="A38" s="704" t="s">
        <v>861</v>
      </c>
      <c r="B38" s="795" t="s">
        <v>1165</v>
      </c>
      <c r="C38" s="796"/>
      <c r="D38" s="796"/>
      <c r="E38" s="796"/>
      <c r="F38" s="796"/>
      <c r="G38" s="796"/>
    </row>
    <row r="39" spans="1:7" ht="65.45" customHeight="1" x14ac:dyDescent="0.25">
      <c r="A39" s="704" t="s">
        <v>862</v>
      </c>
      <c r="B39" s="795" t="s">
        <v>1166</v>
      </c>
      <c r="C39" s="796"/>
      <c r="D39" s="796"/>
      <c r="E39" s="796"/>
      <c r="F39" s="796"/>
      <c r="G39" s="796"/>
    </row>
    <row r="40" spans="1:7" ht="42.75" customHeight="1" x14ac:dyDescent="0.25">
      <c r="A40" s="704" t="s">
        <v>863</v>
      </c>
      <c r="B40" s="795" t="s">
        <v>1235</v>
      </c>
      <c r="C40" s="796"/>
      <c r="D40" s="796"/>
      <c r="E40" s="796"/>
      <c r="F40" s="796"/>
      <c r="G40" s="796"/>
    </row>
    <row r="41" spans="1:7" ht="46.5" customHeight="1" x14ac:dyDescent="0.25">
      <c r="A41" s="704" t="s">
        <v>864</v>
      </c>
      <c r="B41" s="795" t="s">
        <v>1236</v>
      </c>
      <c r="C41" s="796"/>
      <c r="D41" s="796"/>
      <c r="E41" s="796"/>
      <c r="F41" s="796"/>
      <c r="G41" s="796"/>
    </row>
    <row r="42" spans="1:7" ht="45.95" customHeight="1" x14ac:dyDescent="0.25">
      <c r="A42" s="704" t="s">
        <v>865</v>
      </c>
      <c r="B42" s="795" t="s">
        <v>1237</v>
      </c>
      <c r="C42" s="796"/>
      <c r="D42" s="796"/>
      <c r="E42" s="796"/>
      <c r="F42" s="796"/>
      <c r="G42" s="796"/>
    </row>
    <row r="43" spans="1:7" ht="45" customHeight="1" x14ac:dyDescent="0.25">
      <c r="A43" s="704" t="s">
        <v>866</v>
      </c>
      <c r="B43" s="795" t="s">
        <v>1167</v>
      </c>
      <c r="C43" s="796"/>
      <c r="D43" s="796"/>
      <c r="E43" s="796"/>
      <c r="F43" s="796"/>
      <c r="G43" s="796"/>
    </row>
    <row r="44" spans="1:7" ht="33.75" customHeight="1" x14ac:dyDescent="0.25">
      <c r="A44" s="704" t="s">
        <v>1168</v>
      </c>
      <c r="B44" s="795" t="s">
        <v>1169</v>
      </c>
      <c r="C44" s="796"/>
      <c r="D44" s="796"/>
      <c r="E44" s="796"/>
      <c r="F44" s="796"/>
      <c r="G44" s="796"/>
    </row>
    <row r="45" spans="1:7" s="716" customFormat="1" ht="34.5" customHeight="1" x14ac:dyDescent="0.25">
      <c r="A45" s="704" t="s">
        <v>867</v>
      </c>
      <c r="B45" s="795" t="s">
        <v>1170</v>
      </c>
      <c r="C45" s="796"/>
      <c r="D45" s="796"/>
      <c r="E45" s="796"/>
      <c r="F45" s="796"/>
      <c r="G45" s="796"/>
    </row>
    <row r="46" spans="1:7" s="716" customFormat="1" ht="30.6" customHeight="1" x14ac:dyDescent="0.25">
      <c r="A46" s="704" t="s">
        <v>868</v>
      </c>
      <c r="B46" s="795" t="s">
        <v>1171</v>
      </c>
      <c r="C46" s="796"/>
      <c r="D46" s="796"/>
      <c r="E46" s="796"/>
      <c r="F46" s="796"/>
      <c r="G46" s="796"/>
    </row>
    <row r="47" spans="1:7" s="716" customFormat="1" ht="32.25" customHeight="1" x14ac:dyDescent="0.25">
      <c r="A47" s="704" t="s">
        <v>1172</v>
      </c>
      <c r="B47" s="795" t="s">
        <v>1173</v>
      </c>
      <c r="C47" s="796"/>
      <c r="D47" s="796"/>
      <c r="E47" s="796"/>
      <c r="F47" s="796"/>
      <c r="G47" s="796"/>
    </row>
    <row r="48" spans="1:7" s="716" customFormat="1" ht="32.25" customHeight="1" x14ac:dyDescent="0.25">
      <c r="A48" s="704" t="s">
        <v>1239</v>
      </c>
      <c r="B48" s="795" t="s">
        <v>1174</v>
      </c>
      <c r="C48" s="796"/>
      <c r="D48" s="796"/>
      <c r="E48" s="796"/>
      <c r="F48" s="796"/>
      <c r="G48" s="796"/>
    </row>
    <row r="49" spans="1:7" s="716" customFormat="1" ht="32.25" customHeight="1" x14ac:dyDescent="0.25">
      <c r="A49" s="704" t="s">
        <v>1175</v>
      </c>
      <c r="B49" s="795" t="s">
        <v>1240</v>
      </c>
      <c r="C49" s="796"/>
      <c r="D49" s="796"/>
      <c r="E49" s="796"/>
      <c r="F49" s="796"/>
      <c r="G49" s="796"/>
    </row>
    <row r="50" spans="1:7" s="716" customFormat="1" x14ac:dyDescent="0.25">
      <c r="A50" s="704"/>
      <c r="D50" s="717"/>
      <c r="E50" s="710"/>
      <c r="F50" s="710"/>
      <c r="G50" s="710"/>
    </row>
    <row r="51" spans="1:7" s="716" customFormat="1" ht="15" x14ac:dyDescent="0.25">
      <c r="A51" s="721" t="s">
        <v>920</v>
      </c>
      <c r="D51" s="717"/>
      <c r="E51" s="710"/>
      <c r="F51" s="710"/>
      <c r="G51" s="710"/>
    </row>
    <row r="52" spans="1:7" s="716" customFormat="1" ht="48" customHeight="1" x14ac:dyDescent="0.25">
      <c r="A52" s="704" t="s">
        <v>922</v>
      </c>
      <c r="B52" s="799" t="s">
        <v>1176</v>
      </c>
      <c r="C52" s="800"/>
      <c r="D52" s="800"/>
      <c r="E52" s="800"/>
      <c r="F52" s="800"/>
      <c r="G52" s="800"/>
    </row>
    <row r="53" spans="1:7" s="716" customFormat="1" ht="48" customHeight="1" x14ac:dyDescent="0.25">
      <c r="A53" s="704" t="s">
        <v>1177</v>
      </c>
      <c r="B53" s="799" t="s">
        <v>1178</v>
      </c>
      <c r="C53" s="800"/>
      <c r="D53" s="800"/>
      <c r="E53" s="800"/>
      <c r="F53" s="800"/>
      <c r="G53" s="800"/>
    </row>
    <row r="54" spans="1:7" s="716" customFormat="1" ht="45" customHeight="1" x14ac:dyDescent="0.25">
      <c r="A54" s="704" t="s">
        <v>1179</v>
      </c>
      <c r="B54" s="799" t="s">
        <v>1180</v>
      </c>
      <c r="C54" s="800"/>
      <c r="D54" s="800"/>
      <c r="E54" s="800"/>
      <c r="F54" s="800"/>
      <c r="G54" s="800"/>
    </row>
    <row r="55" spans="1:7" s="716" customFormat="1" ht="51" customHeight="1" x14ac:dyDescent="0.25">
      <c r="A55" s="704" t="s">
        <v>1181</v>
      </c>
      <c r="B55" s="799" t="s">
        <v>1182</v>
      </c>
      <c r="C55" s="800"/>
      <c r="D55" s="800"/>
      <c r="E55" s="800"/>
      <c r="F55" s="800"/>
      <c r="G55" s="800"/>
    </row>
    <row r="57" spans="1:7" s="716" customFormat="1" ht="15" x14ac:dyDescent="0.25">
      <c r="A57" s="721" t="s">
        <v>943</v>
      </c>
    </row>
    <row r="58" spans="1:7" s="716" customFormat="1" ht="33.75" customHeight="1" x14ac:dyDescent="0.25">
      <c r="A58" s="704" t="s">
        <v>944</v>
      </c>
      <c r="B58" s="806" t="s">
        <v>1183</v>
      </c>
      <c r="C58" s="807"/>
      <c r="D58" s="807"/>
      <c r="E58" s="807"/>
      <c r="F58" s="807"/>
      <c r="G58" s="808"/>
    </row>
    <row r="59" spans="1:7" s="716" customFormat="1" ht="33.75" customHeight="1" x14ac:dyDescent="0.25">
      <c r="A59" s="704" t="s">
        <v>1184</v>
      </c>
      <c r="B59" s="806" t="s">
        <v>1185</v>
      </c>
      <c r="C59" s="807"/>
      <c r="D59" s="807"/>
      <c r="E59" s="807"/>
      <c r="F59" s="807"/>
      <c r="G59" s="808"/>
    </row>
    <row r="60" spans="1:7" s="716" customFormat="1" ht="60" customHeight="1" x14ac:dyDescent="0.25">
      <c r="A60" s="704" t="s">
        <v>948</v>
      </c>
      <c r="B60" s="806" t="s">
        <v>1186</v>
      </c>
      <c r="C60" s="807"/>
      <c r="D60" s="807"/>
      <c r="E60" s="807"/>
      <c r="F60" s="807"/>
      <c r="G60" s="808"/>
    </row>
    <row r="61" spans="1:7" s="716" customFormat="1" ht="56.45" customHeight="1" x14ac:dyDescent="0.25">
      <c r="A61" s="704" t="s">
        <v>950</v>
      </c>
      <c r="B61" s="806" t="s">
        <v>1187</v>
      </c>
      <c r="C61" s="807"/>
      <c r="D61" s="807"/>
      <c r="E61" s="807"/>
      <c r="F61" s="807"/>
      <c r="G61" s="808"/>
    </row>
    <row r="62" spans="1:7" s="716" customFormat="1" ht="21.6" customHeight="1" x14ac:dyDescent="0.25">
      <c r="A62" s="704" t="s">
        <v>952</v>
      </c>
      <c r="B62" s="806" t="s">
        <v>1188</v>
      </c>
      <c r="C62" s="807"/>
      <c r="D62" s="807"/>
      <c r="E62" s="807"/>
      <c r="F62" s="807"/>
      <c r="G62" s="808"/>
    </row>
    <row r="63" spans="1:7" s="716" customFormat="1" ht="32.25" customHeight="1" x14ac:dyDescent="0.25">
      <c r="A63" s="704" t="s">
        <v>953</v>
      </c>
      <c r="B63" s="806" t="s">
        <v>1189</v>
      </c>
      <c r="C63" s="807"/>
      <c r="D63" s="807"/>
      <c r="E63" s="807"/>
      <c r="F63" s="807"/>
      <c r="G63" s="808"/>
    </row>
    <row r="64" spans="1:7" s="716" customFormat="1" ht="32.25" customHeight="1" x14ac:dyDescent="0.25">
      <c r="A64" s="704" t="s">
        <v>955</v>
      </c>
      <c r="B64" s="806" t="s">
        <v>1241</v>
      </c>
      <c r="C64" s="807"/>
      <c r="D64" s="807"/>
      <c r="E64" s="807"/>
      <c r="F64" s="807"/>
      <c r="G64" s="808"/>
    </row>
    <row r="65" spans="1:16378" s="716" customFormat="1" x14ac:dyDescent="0.25">
      <c r="A65" s="704" t="s">
        <v>956</v>
      </c>
      <c r="B65" s="799" t="s">
        <v>1190</v>
      </c>
      <c r="C65" s="800"/>
      <c r="D65" s="800"/>
      <c r="E65" s="800"/>
      <c r="F65" s="800"/>
      <c r="G65" s="800"/>
    </row>
    <row r="66" spans="1:16378" s="716" customFormat="1" ht="37.5" customHeight="1" x14ac:dyDescent="0.25">
      <c r="A66" s="704" t="s">
        <v>958</v>
      </c>
      <c r="B66" s="799" t="s">
        <v>1191</v>
      </c>
      <c r="C66" s="800"/>
      <c r="D66" s="800"/>
      <c r="E66" s="800"/>
      <c r="F66" s="800"/>
      <c r="G66" s="800"/>
    </row>
    <row r="67" spans="1:16378" s="716" customFormat="1" x14ac:dyDescent="0.25"/>
    <row r="68" spans="1:16378" s="716" customFormat="1" ht="15.75" customHeight="1" x14ac:dyDescent="0.25">
      <c r="A68" s="721" t="s">
        <v>960</v>
      </c>
      <c r="D68" s="717"/>
      <c r="E68" s="710"/>
      <c r="F68" s="710"/>
      <c r="G68" s="710"/>
    </row>
    <row r="69" spans="1:16378" s="716" customFormat="1" ht="33.6" customHeight="1" x14ac:dyDescent="0.25">
      <c r="A69" s="704" t="s">
        <v>961</v>
      </c>
      <c r="B69" s="799" t="s">
        <v>1242</v>
      </c>
      <c r="C69" s="800"/>
      <c r="D69" s="800"/>
      <c r="E69" s="800"/>
      <c r="F69" s="800"/>
      <c r="G69" s="800"/>
    </row>
    <row r="70" spans="1:16378" s="716" customFormat="1" x14ac:dyDescent="0.25"/>
    <row r="71" spans="1:16378" s="716" customFormat="1" ht="15" x14ac:dyDescent="0.25">
      <c r="A71" s="722" t="s">
        <v>966</v>
      </c>
      <c r="D71" s="717"/>
      <c r="E71" s="710"/>
      <c r="F71" s="710"/>
      <c r="G71" s="710"/>
    </row>
    <row r="72" spans="1:16378" s="716" customFormat="1" ht="31.5" customHeight="1" x14ac:dyDescent="0.25">
      <c r="A72" s="705" t="s">
        <v>969</v>
      </c>
      <c r="B72" s="799" t="s">
        <v>1254</v>
      </c>
      <c r="C72" s="800"/>
      <c r="D72" s="800"/>
      <c r="E72" s="800"/>
      <c r="F72" s="800"/>
      <c r="G72" s="800"/>
    </row>
    <row r="73" spans="1:16378" s="716" customFormat="1" ht="32.25" customHeight="1" x14ac:dyDescent="0.25">
      <c r="A73" s="705" t="s">
        <v>971</v>
      </c>
      <c r="B73" s="799" t="s">
        <v>1255</v>
      </c>
      <c r="C73" s="800"/>
      <c r="D73" s="800"/>
      <c r="E73" s="800"/>
      <c r="F73" s="800"/>
      <c r="G73" s="800"/>
      <c r="I73" s="708"/>
      <c r="J73" s="797"/>
      <c r="K73" s="798"/>
      <c r="L73" s="798"/>
      <c r="M73" s="798"/>
      <c r="N73" s="798"/>
      <c r="O73" s="798"/>
      <c r="P73" s="708"/>
      <c r="Q73" s="797"/>
      <c r="R73" s="798"/>
      <c r="S73" s="798"/>
      <c r="T73" s="798"/>
      <c r="U73" s="798"/>
      <c r="V73" s="798"/>
      <c r="W73" s="708"/>
      <c r="X73" s="797"/>
      <c r="Y73" s="798"/>
      <c r="Z73" s="798"/>
      <c r="AA73" s="798"/>
      <c r="AB73" s="798"/>
      <c r="AC73" s="798"/>
      <c r="AD73" s="708"/>
      <c r="AE73" s="797"/>
      <c r="AF73" s="798"/>
      <c r="AG73" s="798"/>
      <c r="AH73" s="798"/>
      <c r="AI73" s="798"/>
      <c r="AJ73" s="798"/>
      <c r="AK73" s="708"/>
      <c r="AL73" s="797"/>
      <c r="AM73" s="798"/>
      <c r="AN73" s="798"/>
      <c r="AO73" s="798"/>
      <c r="AP73" s="798"/>
      <c r="AQ73" s="798"/>
      <c r="AR73" s="708"/>
      <c r="AS73" s="797"/>
      <c r="AT73" s="798"/>
      <c r="AU73" s="798"/>
      <c r="AV73" s="798"/>
      <c r="AW73" s="798"/>
      <c r="AX73" s="798"/>
      <c r="AY73" s="709"/>
      <c r="AZ73" s="799"/>
      <c r="BA73" s="800"/>
      <c r="BB73" s="800"/>
      <c r="BC73" s="800"/>
      <c r="BD73" s="800"/>
      <c r="BE73" s="800"/>
      <c r="BF73" s="705"/>
      <c r="BG73" s="799"/>
      <c r="BH73" s="800"/>
      <c r="BI73" s="800"/>
      <c r="BJ73" s="800"/>
      <c r="BK73" s="800"/>
      <c r="BL73" s="800"/>
      <c r="BM73" s="705"/>
      <c r="BN73" s="799"/>
      <c r="BO73" s="800"/>
      <c r="BP73" s="800"/>
      <c r="BQ73" s="800"/>
      <c r="BR73" s="800"/>
      <c r="BS73" s="800"/>
      <c r="BT73" s="705"/>
      <c r="BU73" s="799"/>
      <c r="BV73" s="800"/>
      <c r="BW73" s="800"/>
      <c r="BX73" s="800"/>
      <c r="BY73" s="800"/>
      <c r="BZ73" s="800"/>
      <c r="CA73" s="705"/>
      <c r="CB73" s="799"/>
      <c r="CC73" s="800"/>
      <c r="CD73" s="800"/>
      <c r="CE73" s="800"/>
      <c r="CF73" s="800"/>
      <c r="CG73" s="800"/>
      <c r="CH73" s="705"/>
      <c r="CI73" s="799"/>
      <c r="CJ73" s="800"/>
      <c r="CK73" s="800"/>
      <c r="CL73" s="800"/>
      <c r="CM73" s="800"/>
      <c r="CN73" s="800"/>
      <c r="CO73" s="705"/>
      <c r="CP73" s="799"/>
      <c r="CQ73" s="800"/>
      <c r="CR73" s="800"/>
      <c r="CS73" s="800"/>
      <c r="CT73" s="800"/>
      <c r="CU73" s="800"/>
      <c r="CV73" s="705"/>
      <c r="CW73" s="799"/>
      <c r="CX73" s="800"/>
      <c r="CY73" s="800"/>
      <c r="CZ73" s="800"/>
      <c r="DA73" s="800"/>
      <c r="DB73" s="800"/>
      <c r="DC73" s="705"/>
      <c r="DD73" s="799"/>
      <c r="DE73" s="800"/>
      <c r="DF73" s="800"/>
      <c r="DG73" s="800"/>
      <c r="DH73" s="800"/>
      <c r="DI73" s="800"/>
      <c r="DJ73" s="705"/>
      <c r="DK73" s="799"/>
      <c r="DL73" s="800"/>
      <c r="DM73" s="800"/>
      <c r="DN73" s="800"/>
      <c r="DO73" s="800"/>
      <c r="DP73" s="800"/>
      <c r="DQ73" s="705"/>
      <c r="DR73" s="799"/>
      <c r="DS73" s="800"/>
      <c r="DT73" s="800"/>
      <c r="DU73" s="800"/>
      <c r="DV73" s="800"/>
      <c r="DW73" s="800"/>
      <c r="DX73" s="705"/>
      <c r="DY73" s="799"/>
      <c r="DZ73" s="800"/>
      <c r="EA73" s="800"/>
      <c r="EB73" s="800"/>
      <c r="EC73" s="800"/>
      <c r="ED73" s="800"/>
      <c r="EE73" s="705"/>
      <c r="EF73" s="799"/>
      <c r="EG73" s="800"/>
      <c r="EH73" s="800"/>
      <c r="EI73" s="800"/>
      <c r="EJ73" s="800"/>
      <c r="EK73" s="800"/>
      <c r="EL73" s="705"/>
      <c r="EM73" s="799"/>
      <c r="EN73" s="800"/>
      <c r="EO73" s="800"/>
      <c r="EP73" s="800"/>
      <c r="EQ73" s="800"/>
      <c r="ER73" s="800"/>
      <c r="ES73" s="705"/>
      <c r="ET73" s="799"/>
      <c r="EU73" s="800"/>
      <c r="EV73" s="800"/>
      <c r="EW73" s="800"/>
      <c r="EX73" s="800"/>
      <c r="EY73" s="800"/>
      <c r="EZ73" s="705"/>
      <c r="FA73" s="799"/>
      <c r="FB73" s="800"/>
      <c r="FC73" s="800"/>
      <c r="FD73" s="800"/>
      <c r="FE73" s="800"/>
      <c r="FF73" s="800"/>
      <c r="FG73" s="705"/>
      <c r="FH73" s="799"/>
      <c r="FI73" s="800"/>
      <c r="FJ73" s="800"/>
      <c r="FK73" s="800"/>
      <c r="FL73" s="800"/>
      <c r="FM73" s="800"/>
      <c r="FN73" s="705"/>
      <c r="FO73" s="799"/>
      <c r="FP73" s="800"/>
      <c r="FQ73" s="800"/>
      <c r="FR73" s="800"/>
      <c r="FS73" s="800"/>
      <c r="FT73" s="800"/>
      <c r="FU73" s="705"/>
      <c r="FV73" s="799"/>
      <c r="FW73" s="800"/>
      <c r="FX73" s="800"/>
      <c r="FY73" s="800"/>
      <c r="FZ73" s="800"/>
      <c r="GA73" s="800"/>
      <c r="GB73" s="705"/>
      <c r="GC73" s="799"/>
      <c r="GD73" s="800"/>
      <c r="GE73" s="800"/>
      <c r="GF73" s="800"/>
      <c r="GG73" s="800"/>
      <c r="GH73" s="800"/>
      <c r="GI73" s="705"/>
      <c r="GJ73" s="799"/>
      <c r="GK73" s="800"/>
      <c r="GL73" s="800"/>
      <c r="GM73" s="800"/>
      <c r="GN73" s="800"/>
      <c r="GO73" s="800"/>
      <c r="GP73" s="705"/>
      <c r="GQ73" s="799"/>
      <c r="GR73" s="800"/>
      <c r="GS73" s="800"/>
      <c r="GT73" s="800"/>
      <c r="GU73" s="800"/>
      <c r="GV73" s="800"/>
      <c r="GW73" s="705"/>
      <c r="GX73" s="799"/>
      <c r="GY73" s="800"/>
      <c r="GZ73" s="800"/>
      <c r="HA73" s="800"/>
      <c r="HB73" s="800"/>
      <c r="HC73" s="800"/>
      <c r="HD73" s="705"/>
      <c r="HE73" s="799"/>
      <c r="HF73" s="800"/>
      <c r="HG73" s="800"/>
      <c r="HH73" s="800"/>
      <c r="HI73" s="800"/>
      <c r="HJ73" s="800"/>
      <c r="HK73" s="705"/>
      <c r="HL73" s="799"/>
      <c r="HM73" s="800"/>
      <c r="HN73" s="800"/>
      <c r="HO73" s="800"/>
      <c r="HP73" s="800"/>
      <c r="HQ73" s="800"/>
      <c r="HR73" s="705"/>
      <c r="HS73" s="799"/>
      <c r="HT73" s="800"/>
      <c r="HU73" s="800"/>
      <c r="HV73" s="800"/>
      <c r="HW73" s="800"/>
      <c r="HX73" s="800"/>
      <c r="HY73" s="705"/>
      <c r="HZ73" s="799"/>
      <c r="IA73" s="800"/>
      <c r="IB73" s="800"/>
      <c r="IC73" s="800"/>
      <c r="ID73" s="800"/>
      <c r="IE73" s="800"/>
      <c r="IF73" s="705"/>
      <c r="IG73" s="799"/>
      <c r="IH73" s="800"/>
      <c r="II73" s="800"/>
      <c r="IJ73" s="800"/>
      <c r="IK73" s="800"/>
      <c r="IL73" s="800"/>
      <c r="IM73" s="705"/>
      <c r="IN73" s="799"/>
      <c r="IO73" s="800"/>
      <c r="IP73" s="800"/>
      <c r="IQ73" s="800"/>
      <c r="IR73" s="800"/>
      <c r="IS73" s="800"/>
      <c r="IT73" s="705"/>
      <c r="IU73" s="799"/>
      <c r="IV73" s="800"/>
      <c r="IW73" s="800"/>
      <c r="IX73" s="800"/>
      <c r="IY73" s="800"/>
      <c r="IZ73" s="800"/>
      <c r="JA73" s="705"/>
      <c r="JB73" s="799"/>
      <c r="JC73" s="800"/>
      <c r="JD73" s="800"/>
      <c r="JE73" s="800"/>
      <c r="JF73" s="800"/>
      <c r="JG73" s="800"/>
      <c r="JH73" s="705"/>
      <c r="JI73" s="799"/>
      <c r="JJ73" s="800"/>
      <c r="JK73" s="800"/>
      <c r="JL73" s="800"/>
      <c r="JM73" s="800"/>
      <c r="JN73" s="800"/>
      <c r="JO73" s="705"/>
      <c r="JP73" s="799"/>
      <c r="JQ73" s="800"/>
      <c r="JR73" s="800"/>
      <c r="JS73" s="800"/>
      <c r="JT73" s="800"/>
      <c r="JU73" s="800"/>
      <c r="JV73" s="705"/>
      <c r="JW73" s="799"/>
      <c r="JX73" s="800"/>
      <c r="JY73" s="800"/>
      <c r="JZ73" s="800"/>
      <c r="KA73" s="800"/>
      <c r="KB73" s="800"/>
      <c r="KC73" s="705"/>
      <c r="KD73" s="799"/>
      <c r="KE73" s="800"/>
      <c r="KF73" s="800"/>
      <c r="KG73" s="800"/>
      <c r="KH73" s="800"/>
      <c r="KI73" s="800"/>
      <c r="KJ73" s="705"/>
      <c r="KK73" s="799"/>
      <c r="KL73" s="800"/>
      <c r="KM73" s="800"/>
      <c r="KN73" s="800"/>
      <c r="KO73" s="800"/>
      <c r="KP73" s="800"/>
      <c r="KQ73" s="705"/>
      <c r="KR73" s="799"/>
      <c r="KS73" s="800"/>
      <c r="KT73" s="800"/>
      <c r="KU73" s="800"/>
      <c r="KV73" s="800"/>
      <c r="KW73" s="800"/>
      <c r="KX73" s="705"/>
      <c r="KY73" s="799"/>
      <c r="KZ73" s="800"/>
      <c r="LA73" s="800"/>
      <c r="LB73" s="800"/>
      <c r="LC73" s="800"/>
      <c r="LD73" s="800"/>
      <c r="LE73" s="705"/>
      <c r="LF73" s="799"/>
      <c r="LG73" s="800"/>
      <c r="LH73" s="800"/>
      <c r="LI73" s="800"/>
      <c r="LJ73" s="800"/>
      <c r="LK73" s="800"/>
      <c r="LL73" s="705"/>
      <c r="LM73" s="799"/>
      <c r="LN73" s="800"/>
      <c r="LO73" s="800"/>
      <c r="LP73" s="800"/>
      <c r="LQ73" s="800"/>
      <c r="LR73" s="800"/>
      <c r="LS73" s="705"/>
      <c r="LT73" s="799"/>
      <c r="LU73" s="800"/>
      <c r="LV73" s="800"/>
      <c r="LW73" s="800"/>
      <c r="LX73" s="800"/>
      <c r="LY73" s="800"/>
      <c r="LZ73" s="705"/>
      <c r="MA73" s="799"/>
      <c r="MB73" s="800"/>
      <c r="MC73" s="800"/>
      <c r="MD73" s="800"/>
      <c r="ME73" s="800"/>
      <c r="MF73" s="800"/>
      <c r="MG73" s="705"/>
      <c r="MH73" s="799"/>
      <c r="MI73" s="800"/>
      <c r="MJ73" s="800"/>
      <c r="MK73" s="800"/>
      <c r="ML73" s="800"/>
      <c r="MM73" s="800"/>
      <c r="MN73" s="705"/>
      <c r="MO73" s="799"/>
      <c r="MP73" s="800"/>
      <c r="MQ73" s="800"/>
      <c r="MR73" s="800"/>
      <c r="MS73" s="800"/>
      <c r="MT73" s="800"/>
      <c r="MU73" s="705"/>
      <c r="MV73" s="799"/>
      <c r="MW73" s="800"/>
      <c r="MX73" s="800"/>
      <c r="MY73" s="800"/>
      <c r="MZ73" s="800"/>
      <c r="NA73" s="800"/>
      <c r="NB73" s="705"/>
      <c r="NC73" s="799"/>
      <c r="ND73" s="800"/>
      <c r="NE73" s="800"/>
      <c r="NF73" s="800"/>
      <c r="NG73" s="800"/>
      <c r="NH73" s="800"/>
      <c r="NI73" s="705"/>
      <c r="NJ73" s="799"/>
      <c r="NK73" s="800"/>
      <c r="NL73" s="800"/>
      <c r="NM73" s="800"/>
      <c r="NN73" s="800"/>
      <c r="NO73" s="800"/>
      <c r="NP73" s="705"/>
      <c r="NQ73" s="799"/>
      <c r="NR73" s="800"/>
      <c r="NS73" s="800"/>
      <c r="NT73" s="800"/>
      <c r="NU73" s="800"/>
      <c r="NV73" s="800"/>
      <c r="NW73" s="705"/>
      <c r="NX73" s="799"/>
      <c r="NY73" s="800"/>
      <c r="NZ73" s="800"/>
      <c r="OA73" s="800"/>
      <c r="OB73" s="800"/>
      <c r="OC73" s="800"/>
      <c r="OD73" s="705"/>
      <c r="OE73" s="799"/>
      <c r="OF73" s="800"/>
      <c r="OG73" s="800"/>
      <c r="OH73" s="800"/>
      <c r="OI73" s="800"/>
      <c r="OJ73" s="800"/>
      <c r="OK73" s="705"/>
      <c r="OL73" s="799"/>
      <c r="OM73" s="800"/>
      <c r="ON73" s="800"/>
      <c r="OO73" s="800"/>
      <c r="OP73" s="800"/>
      <c r="OQ73" s="800"/>
      <c r="OR73" s="705"/>
      <c r="OS73" s="799"/>
      <c r="OT73" s="800"/>
      <c r="OU73" s="800"/>
      <c r="OV73" s="800"/>
      <c r="OW73" s="800"/>
      <c r="OX73" s="800"/>
      <c r="OY73" s="705"/>
      <c r="OZ73" s="799"/>
      <c r="PA73" s="800"/>
      <c r="PB73" s="800"/>
      <c r="PC73" s="800"/>
      <c r="PD73" s="800"/>
      <c r="PE73" s="800"/>
      <c r="PF73" s="705"/>
      <c r="PG73" s="799"/>
      <c r="PH73" s="800"/>
      <c r="PI73" s="800"/>
      <c r="PJ73" s="800"/>
      <c r="PK73" s="800"/>
      <c r="PL73" s="800"/>
      <c r="PM73" s="705"/>
      <c r="PN73" s="799"/>
      <c r="PO73" s="800"/>
      <c r="PP73" s="800"/>
      <c r="PQ73" s="800"/>
      <c r="PR73" s="800"/>
      <c r="PS73" s="800"/>
      <c r="PT73" s="705"/>
      <c r="PU73" s="799"/>
      <c r="PV73" s="800"/>
      <c r="PW73" s="800"/>
      <c r="PX73" s="800"/>
      <c r="PY73" s="800"/>
      <c r="PZ73" s="800"/>
      <c r="QA73" s="705"/>
      <c r="QB73" s="799"/>
      <c r="QC73" s="800"/>
      <c r="QD73" s="800"/>
      <c r="QE73" s="800"/>
      <c r="QF73" s="800"/>
      <c r="QG73" s="800"/>
      <c r="QH73" s="705"/>
      <c r="QI73" s="799"/>
      <c r="QJ73" s="800"/>
      <c r="QK73" s="800"/>
      <c r="QL73" s="800"/>
      <c r="QM73" s="800"/>
      <c r="QN73" s="800"/>
      <c r="QO73" s="705"/>
      <c r="QP73" s="799"/>
      <c r="QQ73" s="800"/>
      <c r="QR73" s="800"/>
      <c r="QS73" s="800"/>
      <c r="QT73" s="800"/>
      <c r="QU73" s="800"/>
      <c r="QV73" s="705"/>
      <c r="QW73" s="799"/>
      <c r="QX73" s="800"/>
      <c r="QY73" s="800"/>
      <c r="QZ73" s="800"/>
      <c r="RA73" s="800"/>
      <c r="RB73" s="800"/>
      <c r="RC73" s="705"/>
      <c r="RD73" s="799"/>
      <c r="RE73" s="800"/>
      <c r="RF73" s="800"/>
      <c r="RG73" s="800"/>
      <c r="RH73" s="800"/>
      <c r="RI73" s="800"/>
      <c r="RJ73" s="705"/>
      <c r="RK73" s="799"/>
      <c r="RL73" s="800"/>
      <c r="RM73" s="800"/>
      <c r="RN73" s="800"/>
      <c r="RO73" s="800"/>
      <c r="RP73" s="800"/>
      <c r="RQ73" s="705"/>
      <c r="RR73" s="799"/>
      <c r="RS73" s="800"/>
      <c r="RT73" s="800"/>
      <c r="RU73" s="800"/>
      <c r="RV73" s="800"/>
      <c r="RW73" s="800"/>
      <c r="RX73" s="705"/>
      <c r="RY73" s="799"/>
      <c r="RZ73" s="800"/>
      <c r="SA73" s="800"/>
      <c r="SB73" s="800"/>
      <c r="SC73" s="800"/>
      <c r="SD73" s="800"/>
      <c r="SE73" s="705"/>
      <c r="SF73" s="799"/>
      <c r="SG73" s="800"/>
      <c r="SH73" s="800"/>
      <c r="SI73" s="800"/>
      <c r="SJ73" s="800"/>
      <c r="SK73" s="800"/>
      <c r="SL73" s="705"/>
      <c r="SM73" s="799"/>
      <c r="SN73" s="800"/>
      <c r="SO73" s="800"/>
      <c r="SP73" s="800"/>
      <c r="SQ73" s="800"/>
      <c r="SR73" s="800"/>
      <c r="SS73" s="705"/>
      <c r="ST73" s="799"/>
      <c r="SU73" s="800"/>
      <c r="SV73" s="800"/>
      <c r="SW73" s="800"/>
      <c r="SX73" s="800"/>
      <c r="SY73" s="800"/>
      <c r="SZ73" s="705"/>
      <c r="TA73" s="799"/>
      <c r="TB73" s="800"/>
      <c r="TC73" s="800"/>
      <c r="TD73" s="800"/>
      <c r="TE73" s="800"/>
      <c r="TF73" s="800"/>
      <c r="TG73" s="705"/>
      <c r="TH73" s="799"/>
      <c r="TI73" s="800"/>
      <c r="TJ73" s="800"/>
      <c r="TK73" s="800"/>
      <c r="TL73" s="800"/>
      <c r="TM73" s="800"/>
      <c r="TN73" s="705"/>
      <c r="TO73" s="799"/>
      <c r="TP73" s="800"/>
      <c r="TQ73" s="800"/>
      <c r="TR73" s="800"/>
      <c r="TS73" s="800"/>
      <c r="TT73" s="800"/>
      <c r="TU73" s="705"/>
      <c r="TV73" s="799"/>
      <c r="TW73" s="800"/>
      <c r="TX73" s="800"/>
      <c r="TY73" s="800"/>
      <c r="TZ73" s="800"/>
      <c r="UA73" s="800"/>
      <c r="UB73" s="705"/>
      <c r="UC73" s="799"/>
      <c r="UD73" s="800"/>
      <c r="UE73" s="800"/>
      <c r="UF73" s="800"/>
      <c r="UG73" s="800"/>
      <c r="UH73" s="800"/>
      <c r="UI73" s="705"/>
      <c r="UJ73" s="799"/>
      <c r="UK73" s="800"/>
      <c r="UL73" s="800"/>
      <c r="UM73" s="800"/>
      <c r="UN73" s="800"/>
      <c r="UO73" s="800"/>
      <c r="UP73" s="705"/>
      <c r="UQ73" s="799"/>
      <c r="UR73" s="800"/>
      <c r="US73" s="800"/>
      <c r="UT73" s="800"/>
      <c r="UU73" s="800"/>
      <c r="UV73" s="800"/>
      <c r="UW73" s="705"/>
      <c r="UX73" s="799"/>
      <c r="UY73" s="800"/>
      <c r="UZ73" s="800"/>
      <c r="VA73" s="800"/>
      <c r="VB73" s="800"/>
      <c r="VC73" s="800"/>
      <c r="VD73" s="705"/>
      <c r="VE73" s="799"/>
      <c r="VF73" s="800"/>
      <c r="VG73" s="800"/>
      <c r="VH73" s="800"/>
      <c r="VI73" s="800"/>
      <c r="VJ73" s="800"/>
      <c r="VK73" s="705"/>
      <c r="VL73" s="799"/>
      <c r="VM73" s="800"/>
      <c r="VN73" s="800"/>
      <c r="VO73" s="800"/>
      <c r="VP73" s="800"/>
      <c r="VQ73" s="800"/>
      <c r="VR73" s="705"/>
      <c r="VS73" s="799"/>
      <c r="VT73" s="800"/>
      <c r="VU73" s="800"/>
      <c r="VV73" s="800"/>
      <c r="VW73" s="800"/>
      <c r="VX73" s="800"/>
      <c r="VY73" s="705"/>
      <c r="VZ73" s="799"/>
      <c r="WA73" s="800"/>
      <c r="WB73" s="800"/>
      <c r="WC73" s="800"/>
      <c r="WD73" s="800"/>
      <c r="WE73" s="800"/>
      <c r="WF73" s="705"/>
      <c r="WG73" s="799"/>
      <c r="WH73" s="800"/>
      <c r="WI73" s="800"/>
      <c r="WJ73" s="800"/>
      <c r="WK73" s="800"/>
      <c r="WL73" s="800"/>
      <c r="WM73" s="705"/>
      <c r="WN73" s="799"/>
      <c r="WO73" s="800"/>
      <c r="WP73" s="800"/>
      <c r="WQ73" s="800"/>
      <c r="WR73" s="800"/>
      <c r="WS73" s="800"/>
      <c r="WT73" s="705"/>
      <c r="WU73" s="799"/>
      <c r="WV73" s="800"/>
      <c r="WW73" s="800"/>
      <c r="WX73" s="800"/>
      <c r="WY73" s="800"/>
      <c r="WZ73" s="800"/>
      <c r="XA73" s="705"/>
      <c r="XB73" s="799"/>
      <c r="XC73" s="800"/>
      <c r="XD73" s="800"/>
      <c r="XE73" s="800"/>
      <c r="XF73" s="800"/>
      <c r="XG73" s="800"/>
      <c r="XH73" s="705"/>
      <c r="XI73" s="799"/>
      <c r="XJ73" s="800"/>
      <c r="XK73" s="800"/>
      <c r="XL73" s="800"/>
      <c r="XM73" s="800"/>
      <c r="XN73" s="800"/>
      <c r="XO73" s="705"/>
      <c r="XP73" s="799"/>
      <c r="XQ73" s="800"/>
      <c r="XR73" s="800"/>
      <c r="XS73" s="800"/>
      <c r="XT73" s="800"/>
      <c r="XU73" s="800"/>
      <c r="XV73" s="705"/>
      <c r="XW73" s="799"/>
      <c r="XX73" s="800"/>
      <c r="XY73" s="800"/>
      <c r="XZ73" s="800"/>
      <c r="YA73" s="800"/>
      <c r="YB73" s="800"/>
      <c r="YC73" s="705"/>
      <c r="YD73" s="799"/>
      <c r="YE73" s="800"/>
      <c r="YF73" s="800"/>
      <c r="YG73" s="800"/>
      <c r="YH73" s="800"/>
      <c r="YI73" s="800"/>
      <c r="YJ73" s="705"/>
      <c r="YK73" s="799"/>
      <c r="YL73" s="800"/>
      <c r="YM73" s="800"/>
      <c r="YN73" s="800"/>
      <c r="YO73" s="800"/>
      <c r="YP73" s="800"/>
      <c r="YQ73" s="705"/>
      <c r="YR73" s="799"/>
      <c r="YS73" s="800"/>
      <c r="YT73" s="800"/>
      <c r="YU73" s="800"/>
      <c r="YV73" s="800"/>
      <c r="YW73" s="800"/>
      <c r="YX73" s="705"/>
      <c r="YY73" s="799"/>
      <c r="YZ73" s="800"/>
      <c r="ZA73" s="800"/>
      <c r="ZB73" s="800"/>
      <c r="ZC73" s="800"/>
      <c r="ZD73" s="800"/>
      <c r="ZE73" s="705"/>
      <c r="ZF73" s="799"/>
      <c r="ZG73" s="800"/>
      <c r="ZH73" s="800"/>
      <c r="ZI73" s="800"/>
      <c r="ZJ73" s="800"/>
      <c r="ZK73" s="800"/>
      <c r="ZL73" s="705"/>
      <c r="ZM73" s="799"/>
      <c r="ZN73" s="800"/>
      <c r="ZO73" s="800"/>
      <c r="ZP73" s="800"/>
      <c r="ZQ73" s="800"/>
      <c r="ZR73" s="800"/>
      <c r="ZS73" s="705"/>
      <c r="ZT73" s="799"/>
      <c r="ZU73" s="800"/>
      <c r="ZV73" s="800"/>
      <c r="ZW73" s="800"/>
      <c r="ZX73" s="800"/>
      <c r="ZY73" s="800"/>
      <c r="ZZ73" s="705"/>
      <c r="AAA73" s="799"/>
      <c r="AAB73" s="800"/>
      <c r="AAC73" s="800"/>
      <c r="AAD73" s="800"/>
      <c r="AAE73" s="800"/>
      <c r="AAF73" s="800"/>
      <c r="AAG73" s="705"/>
      <c r="AAH73" s="799"/>
      <c r="AAI73" s="800"/>
      <c r="AAJ73" s="800"/>
      <c r="AAK73" s="800"/>
      <c r="AAL73" s="800"/>
      <c r="AAM73" s="800"/>
      <c r="AAN73" s="705"/>
      <c r="AAO73" s="799"/>
      <c r="AAP73" s="800"/>
      <c r="AAQ73" s="800"/>
      <c r="AAR73" s="800"/>
      <c r="AAS73" s="800"/>
      <c r="AAT73" s="800"/>
      <c r="AAU73" s="705"/>
      <c r="AAV73" s="799"/>
      <c r="AAW73" s="800"/>
      <c r="AAX73" s="800"/>
      <c r="AAY73" s="800"/>
      <c r="AAZ73" s="800"/>
      <c r="ABA73" s="800"/>
      <c r="ABB73" s="705"/>
      <c r="ABC73" s="799"/>
      <c r="ABD73" s="800"/>
      <c r="ABE73" s="800"/>
      <c r="ABF73" s="800"/>
      <c r="ABG73" s="800"/>
      <c r="ABH73" s="800"/>
      <c r="ABI73" s="705"/>
      <c r="ABJ73" s="799"/>
      <c r="ABK73" s="800"/>
      <c r="ABL73" s="800"/>
      <c r="ABM73" s="800"/>
      <c r="ABN73" s="800"/>
      <c r="ABO73" s="800"/>
      <c r="ABP73" s="705"/>
      <c r="ABQ73" s="799"/>
      <c r="ABR73" s="800"/>
      <c r="ABS73" s="800"/>
      <c r="ABT73" s="800"/>
      <c r="ABU73" s="800"/>
      <c r="ABV73" s="800"/>
      <c r="ABW73" s="705"/>
      <c r="ABX73" s="799"/>
      <c r="ABY73" s="800"/>
      <c r="ABZ73" s="800"/>
      <c r="ACA73" s="800"/>
      <c r="ACB73" s="800"/>
      <c r="ACC73" s="800"/>
      <c r="ACD73" s="705"/>
      <c r="ACE73" s="799"/>
      <c r="ACF73" s="800"/>
      <c r="ACG73" s="800"/>
      <c r="ACH73" s="800"/>
      <c r="ACI73" s="800"/>
      <c r="ACJ73" s="800"/>
      <c r="ACK73" s="705"/>
      <c r="ACL73" s="799"/>
      <c r="ACM73" s="800"/>
      <c r="ACN73" s="800"/>
      <c r="ACO73" s="800"/>
      <c r="ACP73" s="800"/>
      <c r="ACQ73" s="800"/>
      <c r="ACR73" s="705"/>
      <c r="ACS73" s="799"/>
      <c r="ACT73" s="800"/>
      <c r="ACU73" s="800"/>
      <c r="ACV73" s="800"/>
      <c r="ACW73" s="800"/>
      <c r="ACX73" s="800"/>
      <c r="ACY73" s="705"/>
      <c r="ACZ73" s="799"/>
      <c r="ADA73" s="800"/>
      <c r="ADB73" s="800"/>
      <c r="ADC73" s="800"/>
      <c r="ADD73" s="800"/>
      <c r="ADE73" s="800"/>
      <c r="ADF73" s="705"/>
      <c r="ADG73" s="799"/>
      <c r="ADH73" s="800"/>
      <c r="ADI73" s="800"/>
      <c r="ADJ73" s="800"/>
      <c r="ADK73" s="800"/>
      <c r="ADL73" s="800"/>
      <c r="ADM73" s="705"/>
      <c r="ADN73" s="799"/>
      <c r="ADO73" s="800"/>
      <c r="ADP73" s="800"/>
      <c r="ADQ73" s="800"/>
      <c r="ADR73" s="800"/>
      <c r="ADS73" s="800"/>
      <c r="ADT73" s="705"/>
      <c r="ADU73" s="799"/>
      <c r="ADV73" s="800"/>
      <c r="ADW73" s="800"/>
      <c r="ADX73" s="800"/>
      <c r="ADY73" s="800"/>
      <c r="ADZ73" s="800"/>
      <c r="AEA73" s="705"/>
      <c r="AEB73" s="799"/>
      <c r="AEC73" s="800"/>
      <c r="AED73" s="800"/>
      <c r="AEE73" s="800"/>
      <c r="AEF73" s="800"/>
      <c r="AEG73" s="800"/>
      <c r="AEH73" s="705"/>
      <c r="AEI73" s="799"/>
      <c r="AEJ73" s="800"/>
      <c r="AEK73" s="800"/>
      <c r="AEL73" s="800"/>
      <c r="AEM73" s="800"/>
      <c r="AEN73" s="800"/>
      <c r="AEO73" s="705"/>
      <c r="AEP73" s="799"/>
      <c r="AEQ73" s="800"/>
      <c r="AER73" s="800"/>
      <c r="AES73" s="800"/>
      <c r="AET73" s="800"/>
      <c r="AEU73" s="800"/>
      <c r="AEV73" s="705"/>
      <c r="AEW73" s="799"/>
      <c r="AEX73" s="800"/>
      <c r="AEY73" s="800"/>
      <c r="AEZ73" s="800"/>
      <c r="AFA73" s="800"/>
      <c r="AFB73" s="800"/>
      <c r="AFC73" s="705"/>
      <c r="AFD73" s="799"/>
      <c r="AFE73" s="800"/>
      <c r="AFF73" s="800"/>
      <c r="AFG73" s="800"/>
      <c r="AFH73" s="800"/>
      <c r="AFI73" s="800"/>
      <c r="AFJ73" s="705"/>
      <c r="AFK73" s="799"/>
      <c r="AFL73" s="800"/>
      <c r="AFM73" s="800"/>
      <c r="AFN73" s="800"/>
      <c r="AFO73" s="800"/>
      <c r="AFP73" s="800"/>
      <c r="AFQ73" s="705"/>
      <c r="AFR73" s="799"/>
      <c r="AFS73" s="800"/>
      <c r="AFT73" s="800"/>
      <c r="AFU73" s="800"/>
      <c r="AFV73" s="800"/>
      <c r="AFW73" s="800"/>
      <c r="AFX73" s="705"/>
      <c r="AFY73" s="799"/>
      <c r="AFZ73" s="800"/>
      <c r="AGA73" s="800"/>
      <c r="AGB73" s="800"/>
      <c r="AGC73" s="800"/>
      <c r="AGD73" s="800"/>
      <c r="AGE73" s="705"/>
      <c r="AGF73" s="799"/>
      <c r="AGG73" s="800"/>
      <c r="AGH73" s="800"/>
      <c r="AGI73" s="800"/>
      <c r="AGJ73" s="800"/>
      <c r="AGK73" s="800"/>
      <c r="AGL73" s="705"/>
      <c r="AGM73" s="799"/>
      <c r="AGN73" s="800"/>
      <c r="AGO73" s="800"/>
      <c r="AGP73" s="800"/>
      <c r="AGQ73" s="800"/>
      <c r="AGR73" s="800"/>
      <c r="AGS73" s="705"/>
      <c r="AGT73" s="799"/>
      <c r="AGU73" s="800"/>
      <c r="AGV73" s="800"/>
      <c r="AGW73" s="800"/>
      <c r="AGX73" s="800"/>
      <c r="AGY73" s="800"/>
      <c r="AGZ73" s="705"/>
      <c r="AHA73" s="799"/>
      <c r="AHB73" s="800"/>
      <c r="AHC73" s="800"/>
      <c r="AHD73" s="800"/>
      <c r="AHE73" s="800"/>
      <c r="AHF73" s="800"/>
      <c r="AHG73" s="705"/>
      <c r="AHH73" s="799"/>
      <c r="AHI73" s="800"/>
      <c r="AHJ73" s="800"/>
      <c r="AHK73" s="800"/>
      <c r="AHL73" s="800"/>
      <c r="AHM73" s="800"/>
      <c r="AHN73" s="705"/>
      <c r="AHO73" s="799"/>
      <c r="AHP73" s="800"/>
      <c r="AHQ73" s="800"/>
      <c r="AHR73" s="800"/>
      <c r="AHS73" s="800"/>
      <c r="AHT73" s="800"/>
      <c r="AHU73" s="705"/>
      <c r="AHV73" s="799"/>
      <c r="AHW73" s="800"/>
      <c r="AHX73" s="800"/>
      <c r="AHY73" s="800"/>
      <c r="AHZ73" s="800"/>
      <c r="AIA73" s="800"/>
      <c r="AIB73" s="705"/>
      <c r="AIC73" s="799"/>
      <c r="AID73" s="800"/>
      <c r="AIE73" s="800"/>
      <c r="AIF73" s="800"/>
      <c r="AIG73" s="800"/>
      <c r="AIH73" s="800"/>
      <c r="AII73" s="705"/>
      <c r="AIJ73" s="799"/>
      <c r="AIK73" s="800"/>
      <c r="AIL73" s="800"/>
      <c r="AIM73" s="800"/>
      <c r="AIN73" s="800"/>
      <c r="AIO73" s="800"/>
      <c r="AIP73" s="705"/>
      <c r="AIQ73" s="799"/>
      <c r="AIR73" s="800"/>
      <c r="AIS73" s="800"/>
      <c r="AIT73" s="800"/>
      <c r="AIU73" s="800"/>
      <c r="AIV73" s="800"/>
      <c r="AIW73" s="705"/>
      <c r="AIX73" s="799"/>
      <c r="AIY73" s="800"/>
      <c r="AIZ73" s="800"/>
      <c r="AJA73" s="800"/>
      <c r="AJB73" s="800"/>
      <c r="AJC73" s="800"/>
      <c r="AJD73" s="705"/>
      <c r="AJE73" s="799"/>
      <c r="AJF73" s="800"/>
      <c r="AJG73" s="800"/>
      <c r="AJH73" s="800"/>
      <c r="AJI73" s="800"/>
      <c r="AJJ73" s="800"/>
      <c r="AJK73" s="705"/>
      <c r="AJL73" s="799"/>
      <c r="AJM73" s="800"/>
      <c r="AJN73" s="800"/>
      <c r="AJO73" s="800"/>
      <c r="AJP73" s="800"/>
      <c r="AJQ73" s="800"/>
      <c r="AJR73" s="705"/>
      <c r="AJS73" s="799"/>
      <c r="AJT73" s="800"/>
      <c r="AJU73" s="800"/>
      <c r="AJV73" s="800"/>
      <c r="AJW73" s="800"/>
      <c r="AJX73" s="800"/>
      <c r="AJY73" s="705"/>
      <c r="AJZ73" s="799"/>
      <c r="AKA73" s="800"/>
      <c r="AKB73" s="800"/>
      <c r="AKC73" s="800"/>
      <c r="AKD73" s="800"/>
      <c r="AKE73" s="800"/>
      <c r="AKF73" s="705"/>
      <c r="AKG73" s="799"/>
      <c r="AKH73" s="800"/>
      <c r="AKI73" s="800"/>
      <c r="AKJ73" s="800"/>
      <c r="AKK73" s="800"/>
      <c r="AKL73" s="800"/>
      <c r="AKM73" s="705"/>
      <c r="AKN73" s="799"/>
      <c r="AKO73" s="800"/>
      <c r="AKP73" s="800"/>
      <c r="AKQ73" s="800"/>
      <c r="AKR73" s="800"/>
      <c r="AKS73" s="800"/>
      <c r="AKT73" s="705"/>
      <c r="AKU73" s="799"/>
      <c r="AKV73" s="800"/>
      <c r="AKW73" s="800"/>
      <c r="AKX73" s="800"/>
      <c r="AKY73" s="800"/>
      <c r="AKZ73" s="800"/>
      <c r="ALA73" s="705"/>
      <c r="ALB73" s="799"/>
      <c r="ALC73" s="800"/>
      <c r="ALD73" s="800"/>
      <c r="ALE73" s="800"/>
      <c r="ALF73" s="800"/>
      <c r="ALG73" s="800"/>
      <c r="ALH73" s="705"/>
      <c r="ALI73" s="799"/>
      <c r="ALJ73" s="800"/>
      <c r="ALK73" s="800"/>
      <c r="ALL73" s="800"/>
      <c r="ALM73" s="800"/>
      <c r="ALN73" s="800"/>
      <c r="ALO73" s="705"/>
      <c r="ALP73" s="799"/>
      <c r="ALQ73" s="800"/>
      <c r="ALR73" s="800"/>
      <c r="ALS73" s="800"/>
      <c r="ALT73" s="800"/>
      <c r="ALU73" s="800"/>
      <c r="ALV73" s="705"/>
      <c r="ALW73" s="799"/>
      <c r="ALX73" s="800"/>
      <c r="ALY73" s="800"/>
      <c r="ALZ73" s="800"/>
      <c r="AMA73" s="800"/>
      <c r="AMB73" s="800"/>
      <c r="AMC73" s="705"/>
      <c r="AMD73" s="799"/>
      <c r="AME73" s="800"/>
      <c r="AMF73" s="800"/>
      <c r="AMG73" s="800"/>
      <c r="AMH73" s="800"/>
      <c r="AMI73" s="800"/>
      <c r="AMJ73" s="705"/>
      <c r="AMK73" s="799"/>
      <c r="AML73" s="800"/>
      <c r="AMM73" s="800"/>
      <c r="AMN73" s="800"/>
      <c r="AMO73" s="800"/>
      <c r="AMP73" s="800"/>
      <c r="AMQ73" s="705"/>
      <c r="AMR73" s="799"/>
      <c r="AMS73" s="800"/>
      <c r="AMT73" s="800"/>
      <c r="AMU73" s="800"/>
      <c r="AMV73" s="800"/>
      <c r="AMW73" s="800"/>
      <c r="AMX73" s="705"/>
      <c r="AMY73" s="799"/>
      <c r="AMZ73" s="800"/>
      <c r="ANA73" s="800"/>
      <c r="ANB73" s="800"/>
      <c r="ANC73" s="800"/>
      <c r="AND73" s="800"/>
      <c r="ANE73" s="705"/>
      <c r="ANF73" s="799"/>
      <c r="ANG73" s="800"/>
      <c r="ANH73" s="800"/>
      <c r="ANI73" s="800"/>
      <c r="ANJ73" s="800"/>
      <c r="ANK73" s="800"/>
      <c r="ANL73" s="705"/>
      <c r="ANM73" s="799"/>
      <c r="ANN73" s="800"/>
      <c r="ANO73" s="800"/>
      <c r="ANP73" s="800"/>
      <c r="ANQ73" s="800"/>
      <c r="ANR73" s="800"/>
      <c r="ANS73" s="705"/>
      <c r="ANT73" s="799"/>
      <c r="ANU73" s="800"/>
      <c r="ANV73" s="800"/>
      <c r="ANW73" s="800"/>
      <c r="ANX73" s="800"/>
      <c r="ANY73" s="800"/>
      <c r="ANZ73" s="705"/>
      <c r="AOA73" s="799"/>
      <c r="AOB73" s="800"/>
      <c r="AOC73" s="800"/>
      <c r="AOD73" s="800"/>
      <c r="AOE73" s="800"/>
      <c r="AOF73" s="800"/>
      <c r="AOG73" s="705"/>
      <c r="AOH73" s="799"/>
      <c r="AOI73" s="800"/>
      <c r="AOJ73" s="800"/>
      <c r="AOK73" s="800"/>
      <c r="AOL73" s="800"/>
      <c r="AOM73" s="800"/>
      <c r="AON73" s="705"/>
      <c r="AOO73" s="799"/>
      <c r="AOP73" s="800"/>
      <c r="AOQ73" s="800"/>
      <c r="AOR73" s="800"/>
      <c r="AOS73" s="800"/>
      <c r="AOT73" s="800"/>
      <c r="AOU73" s="705"/>
      <c r="AOV73" s="799"/>
      <c r="AOW73" s="800"/>
      <c r="AOX73" s="800"/>
      <c r="AOY73" s="800"/>
      <c r="AOZ73" s="800"/>
      <c r="APA73" s="800"/>
      <c r="APB73" s="705"/>
      <c r="APC73" s="799"/>
      <c r="APD73" s="800"/>
      <c r="APE73" s="800"/>
      <c r="APF73" s="800"/>
      <c r="APG73" s="800"/>
      <c r="APH73" s="800"/>
      <c r="API73" s="705"/>
      <c r="APJ73" s="799"/>
      <c r="APK73" s="800"/>
      <c r="APL73" s="800"/>
      <c r="APM73" s="800"/>
      <c r="APN73" s="800"/>
      <c r="APO73" s="800"/>
      <c r="APP73" s="705"/>
      <c r="APQ73" s="799"/>
      <c r="APR73" s="800"/>
      <c r="APS73" s="800"/>
      <c r="APT73" s="800"/>
      <c r="APU73" s="800"/>
      <c r="APV73" s="800"/>
      <c r="APW73" s="705"/>
      <c r="APX73" s="799"/>
      <c r="APY73" s="800"/>
      <c r="APZ73" s="800"/>
      <c r="AQA73" s="800"/>
      <c r="AQB73" s="800"/>
      <c r="AQC73" s="800"/>
      <c r="AQD73" s="705"/>
      <c r="AQE73" s="799"/>
      <c r="AQF73" s="800"/>
      <c r="AQG73" s="800"/>
      <c r="AQH73" s="800"/>
      <c r="AQI73" s="800"/>
      <c r="AQJ73" s="800"/>
      <c r="AQK73" s="705"/>
      <c r="AQL73" s="799"/>
      <c r="AQM73" s="800"/>
      <c r="AQN73" s="800"/>
      <c r="AQO73" s="800"/>
      <c r="AQP73" s="800"/>
      <c r="AQQ73" s="800"/>
      <c r="AQR73" s="705"/>
      <c r="AQS73" s="799"/>
      <c r="AQT73" s="800"/>
      <c r="AQU73" s="800"/>
      <c r="AQV73" s="800"/>
      <c r="AQW73" s="800"/>
      <c r="AQX73" s="800"/>
      <c r="AQY73" s="705"/>
      <c r="AQZ73" s="799"/>
      <c r="ARA73" s="800"/>
      <c r="ARB73" s="800"/>
      <c r="ARC73" s="800"/>
      <c r="ARD73" s="800"/>
      <c r="ARE73" s="800"/>
      <c r="ARF73" s="705"/>
      <c r="ARG73" s="799"/>
      <c r="ARH73" s="800"/>
      <c r="ARI73" s="800"/>
      <c r="ARJ73" s="800"/>
      <c r="ARK73" s="800"/>
      <c r="ARL73" s="800"/>
      <c r="ARM73" s="705"/>
      <c r="ARN73" s="799"/>
      <c r="ARO73" s="800"/>
      <c r="ARP73" s="800"/>
      <c r="ARQ73" s="800"/>
      <c r="ARR73" s="800"/>
      <c r="ARS73" s="800"/>
      <c r="ART73" s="705"/>
      <c r="ARU73" s="799"/>
      <c r="ARV73" s="800"/>
      <c r="ARW73" s="800"/>
      <c r="ARX73" s="800"/>
      <c r="ARY73" s="800"/>
      <c r="ARZ73" s="800"/>
      <c r="ASA73" s="705"/>
      <c r="ASB73" s="799"/>
      <c r="ASC73" s="800"/>
      <c r="ASD73" s="800"/>
      <c r="ASE73" s="800"/>
      <c r="ASF73" s="800"/>
      <c r="ASG73" s="800"/>
      <c r="ASH73" s="705"/>
      <c r="ASI73" s="799"/>
      <c r="ASJ73" s="800"/>
      <c r="ASK73" s="800"/>
      <c r="ASL73" s="800"/>
      <c r="ASM73" s="800"/>
      <c r="ASN73" s="800"/>
      <c r="ASO73" s="705"/>
      <c r="ASP73" s="799"/>
      <c r="ASQ73" s="800"/>
      <c r="ASR73" s="800"/>
      <c r="ASS73" s="800"/>
      <c r="AST73" s="800"/>
      <c r="ASU73" s="800"/>
      <c r="ASV73" s="705"/>
      <c r="ASW73" s="799"/>
      <c r="ASX73" s="800"/>
      <c r="ASY73" s="800"/>
      <c r="ASZ73" s="800"/>
      <c r="ATA73" s="800"/>
      <c r="ATB73" s="800"/>
      <c r="ATC73" s="705"/>
      <c r="ATD73" s="799"/>
      <c r="ATE73" s="800"/>
      <c r="ATF73" s="800"/>
      <c r="ATG73" s="800"/>
      <c r="ATH73" s="800"/>
      <c r="ATI73" s="800"/>
      <c r="ATJ73" s="705"/>
      <c r="ATK73" s="799"/>
      <c r="ATL73" s="800"/>
      <c r="ATM73" s="800"/>
      <c r="ATN73" s="800"/>
      <c r="ATO73" s="800"/>
      <c r="ATP73" s="800"/>
      <c r="ATQ73" s="705"/>
      <c r="ATR73" s="799"/>
      <c r="ATS73" s="800"/>
      <c r="ATT73" s="800"/>
      <c r="ATU73" s="800"/>
      <c r="ATV73" s="800"/>
      <c r="ATW73" s="800"/>
      <c r="ATX73" s="705"/>
      <c r="ATY73" s="799"/>
      <c r="ATZ73" s="800"/>
      <c r="AUA73" s="800"/>
      <c r="AUB73" s="800"/>
      <c r="AUC73" s="800"/>
      <c r="AUD73" s="800"/>
      <c r="AUE73" s="705"/>
      <c r="AUF73" s="799"/>
      <c r="AUG73" s="800"/>
      <c r="AUH73" s="800"/>
      <c r="AUI73" s="800"/>
      <c r="AUJ73" s="800"/>
      <c r="AUK73" s="800"/>
      <c r="AUL73" s="705"/>
      <c r="AUM73" s="799"/>
      <c r="AUN73" s="800"/>
      <c r="AUO73" s="800"/>
      <c r="AUP73" s="800"/>
      <c r="AUQ73" s="800"/>
      <c r="AUR73" s="800"/>
      <c r="AUS73" s="705"/>
      <c r="AUT73" s="799"/>
      <c r="AUU73" s="800"/>
      <c r="AUV73" s="800"/>
      <c r="AUW73" s="800"/>
      <c r="AUX73" s="800"/>
      <c r="AUY73" s="800"/>
      <c r="AUZ73" s="705"/>
      <c r="AVA73" s="799"/>
      <c r="AVB73" s="800"/>
      <c r="AVC73" s="800"/>
      <c r="AVD73" s="800"/>
      <c r="AVE73" s="800"/>
      <c r="AVF73" s="800"/>
      <c r="AVG73" s="705"/>
      <c r="AVH73" s="799"/>
      <c r="AVI73" s="800"/>
      <c r="AVJ73" s="800"/>
      <c r="AVK73" s="800"/>
      <c r="AVL73" s="800"/>
      <c r="AVM73" s="800"/>
      <c r="AVN73" s="705"/>
      <c r="AVO73" s="799"/>
      <c r="AVP73" s="800"/>
      <c r="AVQ73" s="800"/>
      <c r="AVR73" s="800"/>
      <c r="AVS73" s="800"/>
      <c r="AVT73" s="800"/>
      <c r="AVU73" s="705"/>
      <c r="AVV73" s="799"/>
      <c r="AVW73" s="800"/>
      <c r="AVX73" s="800"/>
      <c r="AVY73" s="800"/>
      <c r="AVZ73" s="800"/>
      <c r="AWA73" s="800"/>
      <c r="AWB73" s="705"/>
      <c r="AWC73" s="799"/>
      <c r="AWD73" s="800"/>
      <c r="AWE73" s="800"/>
      <c r="AWF73" s="800"/>
      <c r="AWG73" s="800"/>
      <c r="AWH73" s="800"/>
      <c r="AWI73" s="705"/>
      <c r="AWJ73" s="799"/>
      <c r="AWK73" s="800"/>
      <c r="AWL73" s="800"/>
      <c r="AWM73" s="800"/>
      <c r="AWN73" s="800"/>
      <c r="AWO73" s="800"/>
      <c r="AWP73" s="705"/>
      <c r="AWQ73" s="799"/>
      <c r="AWR73" s="800"/>
      <c r="AWS73" s="800"/>
      <c r="AWT73" s="800"/>
      <c r="AWU73" s="800"/>
      <c r="AWV73" s="800"/>
      <c r="AWW73" s="705"/>
      <c r="AWX73" s="799"/>
      <c r="AWY73" s="800"/>
      <c r="AWZ73" s="800"/>
      <c r="AXA73" s="800"/>
      <c r="AXB73" s="800"/>
      <c r="AXC73" s="800"/>
      <c r="AXD73" s="705"/>
      <c r="AXE73" s="799"/>
      <c r="AXF73" s="800"/>
      <c r="AXG73" s="800"/>
      <c r="AXH73" s="800"/>
      <c r="AXI73" s="800"/>
      <c r="AXJ73" s="800"/>
      <c r="AXK73" s="705"/>
      <c r="AXL73" s="799"/>
      <c r="AXM73" s="800"/>
      <c r="AXN73" s="800"/>
      <c r="AXO73" s="800"/>
      <c r="AXP73" s="800"/>
      <c r="AXQ73" s="800"/>
      <c r="AXR73" s="705"/>
      <c r="AXS73" s="799"/>
      <c r="AXT73" s="800"/>
      <c r="AXU73" s="800"/>
      <c r="AXV73" s="800"/>
      <c r="AXW73" s="800"/>
      <c r="AXX73" s="800"/>
      <c r="AXY73" s="705"/>
      <c r="AXZ73" s="799"/>
      <c r="AYA73" s="800"/>
      <c r="AYB73" s="800"/>
      <c r="AYC73" s="800"/>
      <c r="AYD73" s="800"/>
      <c r="AYE73" s="800"/>
      <c r="AYF73" s="705"/>
      <c r="AYG73" s="799"/>
      <c r="AYH73" s="800"/>
      <c r="AYI73" s="800"/>
      <c r="AYJ73" s="800"/>
      <c r="AYK73" s="800"/>
      <c r="AYL73" s="800"/>
      <c r="AYM73" s="705"/>
      <c r="AYN73" s="799"/>
      <c r="AYO73" s="800"/>
      <c r="AYP73" s="800"/>
      <c r="AYQ73" s="800"/>
      <c r="AYR73" s="800"/>
      <c r="AYS73" s="800"/>
      <c r="AYT73" s="705"/>
      <c r="AYU73" s="799"/>
      <c r="AYV73" s="800"/>
      <c r="AYW73" s="800"/>
      <c r="AYX73" s="800"/>
      <c r="AYY73" s="800"/>
      <c r="AYZ73" s="800"/>
      <c r="AZA73" s="705"/>
      <c r="AZB73" s="799"/>
      <c r="AZC73" s="800"/>
      <c r="AZD73" s="800"/>
      <c r="AZE73" s="800"/>
      <c r="AZF73" s="800"/>
      <c r="AZG73" s="800"/>
      <c r="AZH73" s="705"/>
      <c r="AZI73" s="799"/>
      <c r="AZJ73" s="800"/>
      <c r="AZK73" s="800"/>
      <c r="AZL73" s="800"/>
      <c r="AZM73" s="800"/>
      <c r="AZN73" s="800"/>
      <c r="AZO73" s="705"/>
      <c r="AZP73" s="799"/>
      <c r="AZQ73" s="800"/>
      <c r="AZR73" s="800"/>
      <c r="AZS73" s="800"/>
      <c r="AZT73" s="800"/>
      <c r="AZU73" s="800"/>
      <c r="AZV73" s="705"/>
      <c r="AZW73" s="799"/>
      <c r="AZX73" s="800"/>
      <c r="AZY73" s="800"/>
      <c r="AZZ73" s="800"/>
      <c r="BAA73" s="800"/>
      <c r="BAB73" s="800"/>
      <c r="BAC73" s="705"/>
      <c r="BAD73" s="799"/>
      <c r="BAE73" s="800"/>
      <c r="BAF73" s="800"/>
      <c r="BAG73" s="800"/>
      <c r="BAH73" s="800"/>
      <c r="BAI73" s="800"/>
      <c r="BAJ73" s="705"/>
      <c r="BAK73" s="799"/>
      <c r="BAL73" s="800"/>
      <c r="BAM73" s="800"/>
      <c r="BAN73" s="800"/>
      <c r="BAO73" s="800"/>
      <c r="BAP73" s="800"/>
      <c r="BAQ73" s="705"/>
      <c r="BAR73" s="799"/>
      <c r="BAS73" s="800"/>
      <c r="BAT73" s="800"/>
      <c r="BAU73" s="800"/>
      <c r="BAV73" s="800"/>
      <c r="BAW73" s="800"/>
      <c r="BAX73" s="705"/>
      <c r="BAY73" s="799"/>
      <c r="BAZ73" s="800"/>
      <c r="BBA73" s="800"/>
      <c r="BBB73" s="800"/>
      <c r="BBC73" s="800"/>
      <c r="BBD73" s="800"/>
      <c r="BBE73" s="705"/>
      <c r="BBF73" s="799"/>
      <c r="BBG73" s="800"/>
      <c r="BBH73" s="800"/>
      <c r="BBI73" s="800"/>
      <c r="BBJ73" s="800"/>
      <c r="BBK73" s="800"/>
      <c r="BBL73" s="705"/>
      <c r="BBM73" s="799"/>
      <c r="BBN73" s="800"/>
      <c r="BBO73" s="800"/>
      <c r="BBP73" s="800"/>
      <c r="BBQ73" s="800"/>
      <c r="BBR73" s="800"/>
      <c r="BBS73" s="705"/>
      <c r="BBT73" s="799"/>
      <c r="BBU73" s="800"/>
      <c r="BBV73" s="800"/>
      <c r="BBW73" s="800"/>
      <c r="BBX73" s="800"/>
      <c r="BBY73" s="800"/>
      <c r="BBZ73" s="705"/>
      <c r="BCA73" s="799"/>
      <c r="BCB73" s="800"/>
      <c r="BCC73" s="800"/>
      <c r="BCD73" s="800"/>
      <c r="BCE73" s="800"/>
      <c r="BCF73" s="800"/>
      <c r="BCG73" s="705"/>
      <c r="BCH73" s="799"/>
      <c r="BCI73" s="800"/>
      <c r="BCJ73" s="800"/>
      <c r="BCK73" s="800"/>
      <c r="BCL73" s="800"/>
      <c r="BCM73" s="800"/>
      <c r="BCN73" s="705"/>
      <c r="BCO73" s="799"/>
      <c r="BCP73" s="800"/>
      <c r="BCQ73" s="800"/>
      <c r="BCR73" s="800"/>
      <c r="BCS73" s="800"/>
      <c r="BCT73" s="800"/>
      <c r="BCU73" s="705"/>
      <c r="BCV73" s="799"/>
      <c r="BCW73" s="800"/>
      <c r="BCX73" s="800"/>
      <c r="BCY73" s="800"/>
      <c r="BCZ73" s="800"/>
      <c r="BDA73" s="800"/>
      <c r="BDB73" s="705"/>
      <c r="BDC73" s="799"/>
      <c r="BDD73" s="800"/>
      <c r="BDE73" s="800"/>
      <c r="BDF73" s="800"/>
      <c r="BDG73" s="800"/>
      <c r="BDH73" s="800"/>
      <c r="BDI73" s="705"/>
      <c r="BDJ73" s="799"/>
      <c r="BDK73" s="800"/>
      <c r="BDL73" s="800"/>
      <c r="BDM73" s="800"/>
      <c r="BDN73" s="800"/>
      <c r="BDO73" s="800"/>
      <c r="BDP73" s="705"/>
      <c r="BDQ73" s="799"/>
      <c r="BDR73" s="800"/>
      <c r="BDS73" s="800"/>
      <c r="BDT73" s="800"/>
      <c r="BDU73" s="800"/>
      <c r="BDV73" s="800"/>
      <c r="BDW73" s="705"/>
      <c r="BDX73" s="799"/>
      <c r="BDY73" s="800"/>
      <c r="BDZ73" s="800"/>
      <c r="BEA73" s="800"/>
      <c r="BEB73" s="800"/>
      <c r="BEC73" s="800"/>
      <c r="BED73" s="705"/>
      <c r="BEE73" s="799"/>
      <c r="BEF73" s="800"/>
      <c r="BEG73" s="800"/>
      <c r="BEH73" s="800"/>
      <c r="BEI73" s="800"/>
      <c r="BEJ73" s="800"/>
      <c r="BEK73" s="705"/>
      <c r="BEL73" s="799"/>
      <c r="BEM73" s="800"/>
      <c r="BEN73" s="800"/>
      <c r="BEO73" s="800"/>
      <c r="BEP73" s="800"/>
      <c r="BEQ73" s="800"/>
      <c r="BER73" s="705"/>
      <c r="BES73" s="799"/>
      <c r="BET73" s="800"/>
      <c r="BEU73" s="800"/>
      <c r="BEV73" s="800"/>
      <c r="BEW73" s="800"/>
      <c r="BEX73" s="800"/>
      <c r="BEY73" s="705"/>
      <c r="BEZ73" s="799"/>
      <c r="BFA73" s="800"/>
      <c r="BFB73" s="800"/>
      <c r="BFC73" s="800"/>
      <c r="BFD73" s="800"/>
      <c r="BFE73" s="800"/>
      <c r="BFF73" s="705"/>
      <c r="BFG73" s="799"/>
      <c r="BFH73" s="800"/>
      <c r="BFI73" s="800"/>
      <c r="BFJ73" s="800"/>
      <c r="BFK73" s="800"/>
      <c r="BFL73" s="800"/>
      <c r="BFM73" s="705"/>
      <c r="BFN73" s="799"/>
      <c r="BFO73" s="800"/>
      <c r="BFP73" s="800"/>
      <c r="BFQ73" s="800"/>
      <c r="BFR73" s="800"/>
      <c r="BFS73" s="800"/>
      <c r="BFT73" s="705"/>
      <c r="BFU73" s="799"/>
      <c r="BFV73" s="800"/>
      <c r="BFW73" s="800"/>
      <c r="BFX73" s="800"/>
      <c r="BFY73" s="800"/>
      <c r="BFZ73" s="800"/>
      <c r="BGA73" s="705"/>
      <c r="BGB73" s="799"/>
      <c r="BGC73" s="800"/>
      <c r="BGD73" s="800"/>
      <c r="BGE73" s="800"/>
      <c r="BGF73" s="800"/>
      <c r="BGG73" s="800"/>
      <c r="BGH73" s="705"/>
      <c r="BGI73" s="799"/>
      <c r="BGJ73" s="800"/>
      <c r="BGK73" s="800"/>
      <c r="BGL73" s="800"/>
      <c r="BGM73" s="800"/>
      <c r="BGN73" s="800"/>
      <c r="BGO73" s="705"/>
      <c r="BGP73" s="799"/>
      <c r="BGQ73" s="800"/>
      <c r="BGR73" s="800"/>
      <c r="BGS73" s="800"/>
      <c r="BGT73" s="800"/>
      <c r="BGU73" s="800"/>
      <c r="BGV73" s="705"/>
      <c r="BGW73" s="799"/>
      <c r="BGX73" s="800"/>
      <c r="BGY73" s="800"/>
      <c r="BGZ73" s="800"/>
      <c r="BHA73" s="800"/>
      <c r="BHB73" s="800"/>
      <c r="BHC73" s="705"/>
      <c r="BHD73" s="799"/>
      <c r="BHE73" s="800"/>
      <c r="BHF73" s="800"/>
      <c r="BHG73" s="800"/>
      <c r="BHH73" s="800"/>
      <c r="BHI73" s="800"/>
      <c r="BHJ73" s="705"/>
      <c r="BHK73" s="799"/>
      <c r="BHL73" s="800"/>
      <c r="BHM73" s="800"/>
      <c r="BHN73" s="800"/>
      <c r="BHO73" s="800"/>
      <c r="BHP73" s="800"/>
      <c r="BHQ73" s="705"/>
      <c r="BHR73" s="799"/>
      <c r="BHS73" s="800"/>
      <c r="BHT73" s="800"/>
      <c r="BHU73" s="800"/>
      <c r="BHV73" s="800"/>
      <c r="BHW73" s="800"/>
      <c r="BHX73" s="705"/>
      <c r="BHY73" s="799"/>
      <c r="BHZ73" s="800"/>
      <c r="BIA73" s="800"/>
      <c r="BIB73" s="800"/>
      <c r="BIC73" s="800"/>
      <c r="BID73" s="800"/>
      <c r="BIE73" s="705"/>
      <c r="BIF73" s="799"/>
      <c r="BIG73" s="800"/>
      <c r="BIH73" s="800"/>
      <c r="BII73" s="800"/>
      <c r="BIJ73" s="800"/>
      <c r="BIK73" s="800"/>
      <c r="BIL73" s="705"/>
      <c r="BIM73" s="799"/>
      <c r="BIN73" s="800"/>
      <c r="BIO73" s="800"/>
      <c r="BIP73" s="800"/>
      <c r="BIQ73" s="800"/>
      <c r="BIR73" s="800"/>
      <c r="BIS73" s="705"/>
      <c r="BIT73" s="799"/>
      <c r="BIU73" s="800"/>
      <c r="BIV73" s="800"/>
      <c r="BIW73" s="800"/>
      <c r="BIX73" s="800"/>
      <c r="BIY73" s="800"/>
      <c r="BIZ73" s="705"/>
      <c r="BJA73" s="799"/>
      <c r="BJB73" s="800"/>
      <c r="BJC73" s="800"/>
      <c r="BJD73" s="800"/>
      <c r="BJE73" s="800"/>
      <c r="BJF73" s="800"/>
      <c r="BJG73" s="705"/>
      <c r="BJH73" s="799"/>
      <c r="BJI73" s="800"/>
      <c r="BJJ73" s="800"/>
      <c r="BJK73" s="800"/>
      <c r="BJL73" s="800"/>
      <c r="BJM73" s="800"/>
      <c r="BJN73" s="705"/>
      <c r="BJO73" s="799"/>
      <c r="BJP73" s="800"/>
      <c r="BJQ73" s="800"/>
      <c r="BJR73" s="800"/>
      <c r="BJS73" s="800"/>
      <c r="BJT73" s="800"/>
      <c r="BJU73" s="705"/>
      <c r="BJV73" s="799"/>
      <c r="BJW73" s="800"/>
      <c r="BJX73" s="800"/>
      <c r="BJY73" s="800"/>
      <c r="BJZ73" s="800"/>
      <c r="BKA73" s="800"/>
      <c r="BKB73" s="705"/>
      <c r="BKC73" s="799"/>
      <c r="BKD73" s="800"/>
      <c r="BKE73" s="800"/>
      <c r="BKF73" s="800"/>
      <c r="BKG73" s="800"/>
      <c r="BKH73" s="800"/>
      <c r="BKI73" s="705"/>
      <c r="BKJ73" s="799"/>
      <c r="BKK73" s="800"/>
      <c r="BKL73" s="800"/>
      <c r="BKM73" s="800"/>
      <c r="BKN73" s="800"/>
      <c r="BKO73" s="800"/>
      <c r="BKP73" s="705"/>
      <c r="BKQ73" s="799"/>
      <c r="BKR73" s="800"/>
      <c r="BKS73" s="800"/>
      <c r="BKT73" s="800"/>
      <c r="BKU73" s="800"/>
      <c r="BKV73" s="800"/>
      <c r="BKW73" s="705"/>
      <c r="BKX73" s="799"/>
      <c r="BKY73" s="800"/>
      <c r="BKZ73" s="800"/>
      <c r="BLA73" s="800"/>
      <c r="BLB73" s="800"/>
      <c r="BLC73" s="800"/>
      <c r="BLD73" s="705"/>
      <c r="BLE73" s="799"/>
      <c r="BLF73" s="800"/>
      <c r="BLG73" s="800"/>
      <c r="BLH73" s="800"/>
      <c r="BLI73" s="800"/>
      <c r="BLJ73" s="800"/>
      <c r="BLK73" s="705"/>
      <c r="BLL73" s="799"/>
      <c r="BLM73" s="800"/>
      <c r="BLN73" s="800"/>
      <c r="BLO73" s="800"/>
      <c r="BLP73" s="800"/>
      <c r="BLQ73" s="800"/>
      <c r="BLR73" s="705"/>
      <c r="BLS73" s="799"/>
      <c r="BLT73" s="800"/>
      <c r="BLU73" s="800"/>
      <c r="BLV73" s="800"/>
      <c r="BLW73" s="800"/>
      <c r="BLX73" s="800"/>
      <c r="BLY73" s="705"/>
      <c r="BLZ73" s="799"/>
      <c r="BMA73" s="800"/>
      <c r="BMB73" s="800"/>
      <c r="BMC73" s="800"/>
      <c r="BMD73" s="800"/>
      <c r="BME73" s="800"/>
      <c r="BMF73" s="705"/>
      <c r="BMG73" s="799"/>
      <c r="BMH73" s="800"/>
      <c r="BMI73" s="800"/>
      <c r="BMJ73" s="800"/>
      <c r="BMK73" s="800"/>
      <c r="BML73" s="800"/>
      <c r="BMM73" s="705"/>
      <c r="BMN73" s="799"/>
      <c r="BMO73" s="800"/>
      <c r="BMP73" s="800"/>
      <c r="BMQ73" s="800"/>
      <c r="BMR73" s="800"/>
      <c r="BMS73" s="800"/>
      <c r="BMT73" s="705"/>
      <c r="BMU73" s="799"/>
      <c r="BMV73" s="800"/>
      <c r="BMW73" s="800"/>
      <c r="BMX73" s="800"/>
      <c r="BMY73" s="800"/>
      <c r="BMZ73" s="800"/>
      <c r="BNA73" s="705"/>
      <c r="BNB73" s="799"/>
      <c r="BNC73" s="800"/>
      <c r="BND73" s="800"/>
      <c r="BNE73" s="800"/>
      <c r="BNF73" s="800"/>
      <c r="BNG73" s="800"/>
      <c r="BNH73" s="705"/>
      <c r="BNI73" s="799"/>
      <c r="BNJ73" s="800"/>
      <c r="BNK73" s="800"/>
      <c r="BNL73" s="800"/>
      <c r="BNM73" s="800"/>
      <c r="BNN73" s="800"/>
      <c r="BNO73" s="705"/>
      <c r="BNP73" s="799"/>
      <c r="BNQ73" s="800"/>
      <c r="BNR73" s="800"/>
      <c r="BNS73" s="800"/>
      <c r="BNT73" s="800"/>
      <c r="BNU73" s="800"/>
      <c r="BNV73" s="705"/>
      <c r="BNW73" s="799"/>
      <c r="BNX73" s="800"/>
      <c r="BNY73" s="800"/>
      <c r="BNZ73" s="800"/>
      <c r="BOA73" s="800"/>
      <c r="BOB73" s="800"/>
      <c r="BOC73" s="705"/>
      <c r="BOD73" s="799"/>
      <c r="BOE73" s="800"/>
      <c r="BOF73" s="800"/>
      <c r="BOG73" s="800"/>
      <c r="BOH73" s="800"/>
      <c r="BOI73" s="800"/>
      <c r="BOJ73" s="705"/>
      <c r="BOK73" s="799"/>
      <c r="BOL73" s="800"/>
      <c r="BOM73" s="800"/>
      <c r="BON73" s="800"/>
      <c r="BOO73" s="800"/>
      <c r="BOP73" s="800"/>
      <c r="BOQ73" s="705"/>
      <c r="BOR73" s="799"/>
      <c r="BOS73" s="800"/>
      <c r="BOT73" s="800"/>
      <c r="BOU73" s="800"/>
      <c r="BOV73" s="800"/>
      <c r="BOW73" s="800"/>
      <c r="BOX73" s="705"/>
      <c r="BOY73" s="799"/>
      <c r="BOZ73" s="800"/>
      <c r="BPA73" s="800"/>
      <c r="BPB73" s="800"/>
      <c r="BPC73" s="800"/>
      <c r="BPD73" s="800"/>
      <c r="BPE73" s="705"/>
      <c r="BPF73" s="799"/>
      <c r="BPG73" s="800"/>
      <c r="BPH73" s="800"/>
      <c r="BPI73" s="800"/>
      <c r="BPJ73" s="800"/>
      <c r="BPK73" s="800"/>
      <c r="BPL73" s="705"/>
      <c r="BPM73" s="799"/>
      <c r="BPN73" s="800"/>
      <c r="BPO73" s="800"/>
      <c r="BPP73" s="800"/>
      <c r="BPQ73" s="800"/>
      <c r="BPR73" s="800"/>
      <c r="BPS73" s="705"/>
      <c r="BPT73" s="799"/>
      <c r="BPU73" s="800"/>
      <c r="BPV73" s="800"/>
      <c r="BPW73" s="800"/>
      <c r="BPX73" s="800"/>
      <c r="BPY73" s="800"/>
      <c r="BPZ73" s="705"/>
      <c r="BQA73" s="799"/>
      <c r="BQB73" s="800"/>
      <c r="BQC73" s="800"/>
      <c r="BQD73" s="800"/>
      <c r="BQE73" s="800"/>
      <c r="BQF73" s="800"/>
      <c r="BQG73" s="705"/>
      <c r="BQH73" s="799"/>
      <c r="BQI73" s="800"/>
      <c r="BQJ73" s="800"/>
      <c r="BQK73" s="800"/>
      <c r="BQL73" s="800"/>
      <c r="BQM73" s="800"/>
      <c r="BQN73" s="705"/>
      <c r="BQO73" s="799"/>
      <c r="BQP73" s="800"/>
      <c r="BQQ73" s="800"/>
      <c r="BQR73" s="800"/>
      <c r="BQS73" s="800"/>
      <c r="BQT73" s="800"/>
      <c r="BQU73" s="705"/>
      <c r="BQV73" s="799"/>
      <c r="BQW73" s="800"/>
      <c r="BQX73" s="800"/>
      <c r="BQY73" s="800"/>
      <c r="BQZ73" s="800"/>
      <c r="BRA73" s="800"/>
      <c r="BRB73" s="705"/>
      <c r="BRC73" s="799"/>
      <c r="BRD73" s="800"/>
      <c r="BRE73" s="800"/>
      <c r="BRF73" s="800"/>
      <c r="BRG73" s="800"/>
      <c r="BRH73" s="800"/>
      <c r="BRI73" s="705"/>
      <c r="BRJ73" s="799"/>
      <c r="BRK73" s="800"/>
      <c r="BRL73" s="800"/>
      <c r="BRM73" s="800"/>
      <c r="BRN73" s="800"/>
      <c r="BRO73" s="800"/>
      <c r="BRP73" s="705"/>
      <c r="BRQ73" s="799"/>
      <c r="BRR73" s="800"/>
      <c r="BRS73" s="800"/>
      <c r="BRT73" s="800"/>
      <c r="BRU73" s="800"/>
      <c r="BRV73" s="800"/>
      <c r="BRW73" s="705"/>
      <c r="BRX73" s="799"/>
      <c r="BRY73" s="800"/>
      <c r="BRZ73" s="800"/>
      <c r="BSA73" s="800"/>
      <c r="BSB73" s="800"/>
      <c r="BSC73" s="800"/>
      <c r="BSD73" s="705"/>
      <c r="BSE73" s="799"/>
      <c r="BSF73" s="800"/>
      <c r="BSG73" s="800"/>
      <c r="BSH73" s="800"/>
      <c r="BSI73" s="800"/>
      <c r="BSJ73" s="800"/>
      <c r="BSK73" s="705"/>
      <c r="BSL73" s="799"/>
      <c r="BSM73" s="800"/>
      <c r="BSN73" s="800"/>
      <c r="BSO73" s="800"/>
      <c r="BSP73" s="800"/>
      <c r="BSQ73" s="800"/>
      <c r="BSR73" s="705"/>
      <c r="BSS73" s="799"/>
      <c r="BST73" s="800"/>
      <c r="BSU73" s="800"/>
      <c r="BSV73" s="800"/>
      <c r="BSW73" s="800"/>
      <c r="BSX73" s="800"/>
      <c r="BSY73" s="705"/>
      <c r="BSZ73" s="799"/>
      <c r="BTA73" s="800"/>
      <c r="BTB73" s="800"/>
      <c r="BTC73" s="800"/>
      <c r="BTD73" s="800"/>
      <c r="BTE73" s="800"/>
      <c r="BTF73" s="705"/>
      <c r="BTG73" s="799"/>
      <c r="BTH73" s="800"/>
      <c r="BTI73" s="800"/>
      <c r="BTJ73" s="800"/>
      <c r="BTK73" s="800"/>
      <c r="BTL73" s="800"/>
      <c r="BTM73" s="705"/>
      <c r="BTN73" s="799"/>
      <c r="BTO73" s="800"/>
      <c r="BTP73" s="800"/>
      <c r="BTQ73" s="800"/>
      <c r="BTR73" s="800"/>
      <c r="BTS73" s="800"/>
      <c r="BTT73" s="705"/>
      <c r="BTU73" s="799"/>
      <c r="BTV73" s="800"/>
      <c r="BTW73" s="800"/>
      <c r="BTX73" s="800"/>
      <c r="BTY73" s="800"/>
      <c r="BTZ73" s="800"/>
      <c r="BUA73" s="705"/>
      <c r="BUB73" s="799"/>
      <c r="BUC73" s="800"/>
      <c r="BUD73" s="800"/>
      <c r="BUE73" s="800"/>
      <c r="BUF73" s="800"/>
      <c r="BUG73" s="800"/>
      <c r="BUH73" s="705"/>
      <c r="BUI73" s="799"/>
      <c r="BUJ73" s="800"/>
      <c r="BUK73" s="800"/>
      <c r="BUL73" s="800"/>
      <c r="BUM73" s="800"/>
      <c r="BUN73" s="800"/>
      <c r="BUO73" s="705"/>
      <c r="BUP73" s="799"/>
      <c r="BUQ73" s="800"/>
      <c r="BUR73" s="800"/>
      <c r="BUS73" s="800"/>
      <c r="BUT73" s="800"/>
      <c r="BUU73" s="800"/>
      <c r="BUV73" s="705"/>
      <c r="BUW73" s="799"/>
      <c r="BUX73" s="800"/>
      <c r="BUY73" s="800"/>
      <c r="BUZ73" s="800"/>
      <c r="BVA73" s="800"/>
      <c r="BVB73" s="800"/>
      <c r="BVC73" s="705"/>
      <c r="BVD73" s="799"/>
      <c r="BVE73" s="800"/>
      <c r="BVF73" s="800"/>
      <c r="BVG73" s="800"/>
      <c r="BVH73" s="800"/>
      <c r="BVI73" s="800"/>
      <c r="BVJ73" s="705"/>
      <c r="BVK73" s="799"/>
      <c r="BVL73" s="800"/>
      <c r="BVM73" s="800"/>
      <c r="BVN73" s="800"/>
      <c r="BVO73" s="800"/>
      <c r="BVP73" s="800"/>
      <c r="BVQ73" s="705"/>
      <c r="BVR73" s="799"/>
      <c r="BVS73" s="800"/>
      <c r="BVT73" s="800"/>
      <c r="BVU73" s="800"/>
      <c r="BVV73" s="800"/>
      <c r="BVW73" s="800"/>
      <c r="BVX73" s="705"/>
      <c r="BVY73" s="799"/>
      <c r="BVZ73" s="800"/>
      <c r="BWA73" s="800"/>
      <c r="BWB73" s="800"/>
      <c r="BWC73" s="800"/>
      <c r="BWD73" s="800"/>
      <c r="BWE73" s="705"/>
      <c r="BWF73" s="799"/>
      <c r="BWG73" s="800"/>
      <c r="BWH73" s="800"/>
      <c r="BWI73" s="800"/>
      <c r="BWJ73" s="800"/>
      <c r="BWK73" s="800"/>
      <c r="BWL73" s="705"/>
      <c r="BWM73" s="799"/>
      <c r="BWN73" s="800"/>
      <c r="BWO73" s="800"/>
      <c r="BWP73" s="800"/>
      <c r="BWQ73" s="800"/>
      <c r="BWR73" s="800"/>
      <c r="BWS73" s="705"/>
      <c r="BWT73" s="799"/>
      <c r="BWU73" s="800"/>
      <c r="BWV73" s="800"/>
      <c r="BWW73" s="800"/>
      <c r="BWX73" s="800"/>
      <c r="BWY73" s="800"/>
      <c r="BWZ73" s="705"/>
      <c r="BXA73" s="799"/>
      <c r="BXB73" s="800"/>
      <c r="BXC73" s="800"/>
      <c r="BXD73" s="800"/>
      <c r="BXE73" s="800"/>
      <c r="BXF73" s="800"/>
      <c r="BXG73" s="705"/>
      <c r="BXH73" s="799"/>
      <c r="BXI73" s="800"/>
      <c r="BXJ73" s="800"/>
      <c r="BXK73" s="800"/>
      <c r="BXL73" s="800"/>
      <c r="BXM73" s="800"/>
      <c r="BXN73" s="705"/>
      <c r="BXO73" s="799"/>
      <c r="BXP73" s="800"/>
      <c r="BXQ73" s="800"/>
      <c r="BXR73" s="800"/>
      <c r="BXS73" s="800"/>
      <c r="BXT73" s="800"/>
      <c r="BXU73" s="705"/>
      <c r="BXV73" s="799"/>
      <c r="BXW73" s="800"/>
      <c r="BXX73" s="800"/>
      <c r="BXY73" s="800"/>
      <c r="BXZ73" s="800"/>
      <c r="BYA73" s="800"/>
      <c r="BYB73" s="705"/>
      <c r="BYC73" s="799"/>
      <c r="BYD73" s="800"/>
      <c r="BYE73" s="800"/>
      <c r="BYF73" s="800"/>
      <c r="BYG73" s="800"/>
      <c r="BYH73" s="800"/>
      <c r="BYI73" s="705"/>
      <c r="BYJ73" s="799"/>
      <c r="BYK73" s="800"/>
      <c r="BYL73" s="800"/>
      <c r="BYM73" s="800"/>
      <c r="BYN73" s="800"/>
      <c r="BYO73" s="800"/>
      <c r="BYP73" s="705"/>
      <c r="BYQ73" s="799"/>
      <c r="BYR73" s="800"/>
      <c r="BYS73" s="800"/>
      <c r="BYT73" s="800"/>
      <c r="BYU73" s="800"/>
      <c r="BYV73" s="800"/>
      <c r="BYW73" s="705"/>
      <c r="BYX73" s="799"/>
      <c r="BYY73" s="800"/>
      <c r="BYZ73" s="800"/>
      <c r="BZA73" s="800"/>
      <c r="BZB73" s="800"/>
      <c r="BZC73" s="800"/>
      <c r="BZD73" s="705"/>
      <c r="BZE73" s="799"/>
      <c r="BZF73" s="800"/>
      <c r="BZG73" s="800"/>
      <c r="BZH73" s="800"/>
      <c r="BZI73" s="800"/>
      <c r="BZJ73" s="800"/>
      <c r="BZK73" s="705"/>
      <c r="BZL73" s="799"/>
      <c r="BZM73" s="800"/>
      <c r="BZN73" s="800"/>
      <c r="BZO73" s="800"/>
      <c r="BZP73" s="800"/>
      <c r="BZQ73" s="800"/>
      <c r="BZR73" s="705"/>
      <c r="BZS73" s="799"/>
      <c r="BZT73" s="800"/>
      <c r="BZU73" s="800"/>
      <c r="BZV73" s="800"/>
      <c r="BZW73" s="800"/>
      <c r="BZX73" s="800"/>
      <c r="BZY73" s="705"/>
      <c r="BZZ73" s="799"/>
      <c r="CAA73" s="800"/>
      <c r="CAB73" s="800"/>
      <c r="CAC73" s="800"/>
      <c r="CAD73" s="800"/>
      <c r="CAE73" s="800"/>
      <c r="CAF73" s="705"/>
      <c r="CAG73" s="799"/>
      <c r="CAH73" s="800"/>
      <c r="CAI73" s="800"/>
      <c r="CAJ73" s="800"/>
      <c r="CAK73" s="800"/>
      <c r="CAL73" s="800"/>
      <c r="CAM73" s="705"/>
      <c r="CAN73" s="799"/>
      <c r="CAO73" s="800"/>
      <c r="CAP73" s="800"/>
      <c r="CAQ73" s="800"/>
      <c r="CAR73" s="800"/>
      <c r="CAS73" s="800"/>
      <c r="CAT73" s="705"/>
      <c r="CAU73" s="799"/>
      <c r="CAV73" s="800"/>
      <c r="CAW73" s="800"/>
      <c r="CAX73" s="800"/>
      <c r="CAY73" s="800"/>
      <c r="CAZ73" s="800"/>
      <c r="CBA73" s="705"/>
      <c r="CBB73" s="799"/>
      <c r="CBC73" s="800"/>
      <c r="CBD73" s="800"/>
      <c r="CBE73" s="800"/>
      <c r="CBF73" s="800"/>
      <c r="CBG73" s="800"/>
      <c r="CBH73" s="705"/>
      <c r="CBI73" s="799"/>
      <c r="CBJ73" s="800"/>
      <c r="CBK73" s="800"/>
      <c r="CBL73" s="800"/>
      <c r="CBM73" s="800"/>
      <c r="CBN73" s="800"/>
      <c r="CBO73" s="705"/>
      <c r="CBP73" s="799"/>
      <c r="CBQ73" s="800"/>
      <c r="CBR73" s="800"/>
      <c r="CBS73" s="800"/>
      <c r="CBT73" s="800"/>
      <c r="CBU73" s="800"/>
      <c r="CBV73" s="705"/>
      <c r="CBW73" s="799"/>
      <c r="CBX73" s="800"/>
      <c r="CBY73" s="800"/>
      <c r="CBZ73" s="800"/>
      <c r="CCA73" s="800"/>
      <c r="CCB73" s="800"/>
      <c r="CCC73" s="705"/>
      <c r="CCD73" s="799"/>
      <c r="CCE73" s="800"/>
      <c r="CCF73" s="800"/>
      <c r="CCG73" s="800"/>
      <c r="CCH73" s="800"/>
      <c r="CCI73" s="800"/>
      <c r="CCJ73" s="705"/>
      <c r="CCK73" s="799"/>
      <c r="CCL73" s="800"/>
      <c r="CCM73" s="800"/>
      <c r="CCN73" s="800"/>
      <c r="CCO73" s="800"/>
      <c r="CCP73" s="800"/>
      <c r="CCQ73" s="705"/>
      <c r="CCR73" s="799"/>
      <c r="CCS73" s="800"/>
      <c r="CCT73" s="800"/>
      <c r="CCU73" s="800"/>
      <c r="CCV73" s="800"/>
      <c r="CCW73" s="800"/>
      <c r="CCX73" s="705"/>
      <c r="CCY73" s="799"/>
      <c r="CCZ73" s="800"/>
      <c r="CDA73" s="800"/>
      <c r="CDB73" s="800"/>
      <c r="CDC73" s="800"/>
      <c r="CDD73" s="800"/>
      <c r="CDE73" s="705"/>
      <c r="CDF73" s="799"/>
      <c r="CDG73" s="800"/>
      <c r="CDH73" s="800"/>
      <c r="CDI73" s="800"/>
      <c r="CDJ73" s="800"/>
      <c r="CDK73" s="800"/>
      <c r="CDL73" s="705"/>
      <c r="CDM73" s="799"/>
      <c r="CDN73" s="800"/>
      <c r="CDO73" s="800"/>
      <c r="CDP73" s="800"/>
      <c r="CDQ73" s="800"/>
      <c r="CDR73" s="800"/>
      <c r="CDS73" s="705"/>
      <c r="CDT73" s="799"/>
      <c r="CDU73" s="800"/>
      <c r="CDV73" s="800"/>
      <c r="CDW73" s="800"/>
      <c r="CDX73" s="800"/>
      <c r="CDY73" s="800"/>
      <c r="CDZ73" s="705"/>
      <c r="CEA73" s="799"/>
      <c r="CEB73" s="800"/>
      <c r="CEC73" s="800"/>
      <c r="CED73" s="800"/>
      <c r="CEE73" s="800"/>
      <c r="CEF73" s="800"/>
      <c r="CEG73" s="705"/>
      <c r="CEH73" s="799"/>
      <c r="CEI73" s="800"/>
      <c r="CEJ73" s="800"/>
      <c r="CEK73" s="800"/>
      <c r="CEL73" s="800"/>
      <c r="CEM73" s="800"/>
      <c r="CEN73" s="705"/>
      <c r="CEO73" s="799"/>
      <c r="CEP73" s="800"/>
      <c r="CEQ73" s="800"/>
      <c r="CER73" s="800"/>
      <c r="CES73" s="800"/>
      <c r="CET73" s="800"/>
      <c r="CEU73" s="705"/>
      <c r="CEV73" s="799"/>
      <c r="CEW73" s="800"/>
      <c r="CEX73" s="800"/>
      <c r="CEY73" s="800"/>
      <c r="CEZ73" s="800"/>
      <c r="CFA73" s="800"/>
      <c r="CFB73" s="705"/>
      <c r="CFC73" s="799"/>
      <c r="CFD73" s="800"/>
      <c r="CFE73" s="800"/>
      <c r="CFF73" s="800"/>
      <c r="CFG73" s="800"/>
      <c r="CFH73" s="800"/>
      <c r="CFI73" s="705"/>
      <c r="CFJ73" s="799"/>
      <c r="CFK73" s="800"/>
      <c r="CFL73" s="800"/>
      <c r="CFM73" s="800"/>
      <c r="CFN73" s="800"/>
      <c r="CFO73" s="800"/>
      <c r="CFP73" s="705"/>
      <c r="CFQ73" s="799"/>
      <c r="CFR73" s="800"/>
      <c r="CFS73" s="800"/>
      <c r="CFT73" s="800"/>
      <c r="CFU73" s="800"/>
      <c r="CFV73" s="800"/>
      <c r="CFW73" s="705"/>
      <c r="CFX73" s="799"/>
      <c r="CFY73" s="800"/>
      <c r="CFZ73" s="800"/>
      <c r="CGA73" s="800"/>
      <c r="CGB73" s="800"/>
      <c r="CGC73" s="800"/>
      <c r="CGD73" s="705"/>
      <c r="CGE73" s="799"/>
      <c r="CGF73" s="800"/>
      <c r="CGG73" s="800"/>
      <c r="CGH73" s="800"/>
      <c r="CGI73" s="800"/>
      <c r="CGJ73" s="800"/>
      <c r="CGK73" s="705"/>
      <c r="CGL73" s="799"/>
      <c r="CGM73" s="800"/>
      <c r="CGN73" s="800"/>
      <c r="CGO73" s="800"/>
      <c r="CGP73" s="800"/>
      <c r="CGQ73" s="800"/>
      <c r="CGR73" s="705"/>
      <c r="CGS73" s="799"/>
      <c r="CGT73" s="800"/>
      <c r="CGU73" s="800"/>
      <c r="CGV73" s="800"/>
      <c r="CGW73" s="800"/>
      <c r="CGX73" s="800"/>
      <c r="CGY73" s="705"/>
      <c r="CGZ73" s="799"/>
      <c r="CHA73" s="800"/>
      <c r="CHB73" s="800"/>
      <c r="CHC73" s="800"/>
      <c r="CHD73" s="800"/>
      <c r="CHE73" s="800"/>
      <c r="CHF73" s="705"/>
      <c r="CHG73" s="799"/>
      <c r="CHH73" s="800"/>
      <c r="CHI73" s="800"/>
      <c r="CHJ73" s="800"/>
      <c r="CHK73" s="800"/>
      <c r="CHL73" s="800"/>
      <c r="CHM73" s="705"/>
      <c r="CHN73" s="799"/>
      <c r="CHO73" s="800"/>
      <c r="CHP73" s="800"/>
      <c r="CHQ73" s="800"/>
      <c r="CHR73" s="800"/>
      <c r="CHS73" s="800"/>
      <c r="CHT73" s="705"/>
      <c r="CHU73" s="799"/>
      <c r="CHV73" s="800"/>
      <c r="CHW73" s="800"/>
      <c r="CHX73" s="800"/>
      <c r="CHY73" s="800"/>
      <c r="CHZ73" s="800"/>
      <c r="CIA73" s="705"/>
      <c r="CIB73" s="799"/>
      <c r="CIC73" s="800"/>
      <c r="CID73" s="800"/>
      <c r="CIE73" s="800"/>
      <c r="CIF73" s="800"/>
      <c r="CIG73" s="800"/>
      <c r="CIH73" s="705"/>
      <c r="CII73" s="799"/>
      <c r="CIJ73" s="800"/>
      <c r="CIK73" s="800"/>
      <c r="CIL73" s="800"/>
      <c r="CIM73" s="800"/>
      <c r="CIN73" s="800"/>
      <c r="CIO73" s="705"/>
      <c r="CIP73" s="799"/>
      <c r="CIQ73" s="800"/>
      <c r="CIR73" s="800"/>
      <c r="CIS73" s="800"/>
      <c r="CIT73" s="800"/>
      <c r="CIU73" s="800"/>
      <c r="CIV73" s="705"/>
      <c r="CIW73" s="799"/>
      <c r="CIX73" s="800"/>
      <c r="CIY73" s="800"/>
      <c r="CIZ73" s="800"/>
      <c r="CJA73" s="800"/>
      <c r="CJB73" s="800"/>
      <c r="CJC73" s="705"/>
      <c r="CJD73" s="799"/>
      <c r="CJE73" s="800"/>
      <c r="CJF73" s="800"/>
      <c r="CJG73" s="800"/>
      <c r="CJH73" s="800"/>
      <c r="CJI73" s="800"/>
      <c r="CJJ73" s="705"/>
      <c r="CJK73" s="799"/>
      <c r="CJL73" s="800"/>
      <c r="CJM73" s="800"/>
      <c r="CJN73" s="800"/>
      <c r="CJO73" s="800"/>
      <c r="CJP73" s="800"/>
      <c r="CJQ73" s="705"/>
      <c r="CJR73" s="799"/>
      <c r="CJS73" s="800"/>
      <c r="CJT73" s="800"/>
      <c r="CJU73" s="800"/>
      <c r="CJV73" s="800"/>
      <c r="CJW73" s="800"/>
      <c r="CJX73" s="705"/>
      <c r="CJY73" s="799"/>
      <c r="CJZ73" s="800"/>
      <c r="CKA73" s="800"/>
      <c r="CKB73" s="800"/>
      <c r="CKC73" s="800"/>
      <c r="CKD73" s="800"/>
      <c r="CKE73" s="705"/>
      <c r="CKF73" s="799"/>
      <c r="CKG73" s="800"/>
      <c r="CKH73" s="800"/>
      <c r="CKI73" s="800"/>
      <c r="CKJ73" s="800"/>
      <c r="CKK73" s="800"/>
      <c r="CKL73" s="705"/>
      <c r="CKM73" s="799"/>
      <c r="CKN73" s="800"/>
      <c r="CKO73" s="800"/>
      <c r="CKP73" s="800"/>
      <c r="CKQ73" s="800"/>
      <c r="CKR73" s="800"/>
      <c r="CKS73" s="705"/>
      <c r="CKT73" s="799"/>
      <c r="CKU73" s="800"/>
      <c r="CKV73" s="800"/>
      <c r="CKW73" s="800"/>
      <c r="CKX73" s="800"/>
      <c r="CKY73" s="800"/>
      <c r="CKZ73" s="705"/>
      <c r="CLA73" s="799"/>
      <c r="CLB73" s="800"/>
      <c r="CLC73" s="800"/>
      <c r="CLD73" s="800"/>
      <c r="CLE73" s="800"/>
      <c r="CLF73" s="800"/>
      <c r="CLG73" s="705"/>
      <c r="CLH73" s="799"/>
      <c r="CLI73" s="800"/>
      <c r="CLJ73" s="800"/>
      <c r="CLK73" s="800"/>
      <c r="CLL73" s="800"/>
      <c r="CLM73" s="800"/>
      <c r="CLN73" s="705"/>
      <c r="CLO73" s="799"/>
      <c r="CLP73" s="800"/>
      <c r="CLQ73" s="800"/>
      <c r="CLR73" s="800"/>
      <c r="CLS73" s="800"/>
      <c r="CLT73" s="800"/>
      <c r="CLU73" s="705"/>
      <c r="CLV73" s="799"/>
      <c r="CLW73" s="800"/>
      <c r="CLX73" s="800"/>
      <c r="CLY73" s="800"/>
      <c r="CLZ73" s="800"/>
      <c r="CMA73" s="800"/>
      <c r="CMB73" s="705"/>
      <c r="CMC73" s="799"/>
      <c r="CMD73" s="800"/>
      <c r="CME73" s="800"/>
      <c r="CMF73" s="800"/>
      <c r="CMG73" s="800"/>
      <c r="CMH73" s="800"/>
      <c r="CMI73" s="705"/>
      <c r="CMJ73" s="799"/>
      <c r="CMK73" s="800"/>
      <c r="CML73" s="800"/>
      <c r="CMM73" s="800"/>
      <c r="CMN73" s="800"/>
      <c r="CMO73" s="800"/>
      <c r="CMP73" s="705"/>
      <c r="CMQ73" s="799"/>
      <c r="CMR73" s="800"/>
      <c r="CMS73" s="800"/>
      <c r="CMT73" s="800"/>
      <c r="CMU73" s="800"/>
      <c r="CMV73" s="800"/>
      <c r="CMW73" s="705"/>
      <c r="CMX73" s="799"/>
      <c r="CMY73" s="800"/>
      <c r="CMZ73" s="800"/>
      <c r="CNA73" s="800"/>
      <c r="CNB73" s="800"/>
      <c r="CNC73" s="800"/>
      <c r="CND73" s="705"/>
      <c r="CNE73" s="799"/>
      <c r="CNF73" s="800"/>
      <c r="CNG73" s="800"/>
      <c r="CNH73" s="800"/>
      <c r="CNI73" s="800"/>
      <c r="CNJ73" s="800"/>
      <c r="CNK73" s="705"/>
      <c r="CNL73" s="799"/>
      <c r="CNM73" s="800"/>
      <c r="CNN73" s="800"/>
      <c r="CNO73" s="800"/>
      <c r="CNP73" s="800"/>
      <c r="CNQ73" s="800"/>
      <c r="CNR73" s="705"/>
      <c r="CNS73" s="799"/>
      <c r="CNT73" s="800"/>
      <c r="CNU73" s="800"/>
      <c r="CNV73" s="800"/>
      <c r="CNW73" s="800"/>
      <c r="CNX73" s="800"/>
      <c r="CNY73" s="705"/>
      <c r="CNZ73" s="799"/>
      <c r="COA73" s="800"/>
      <c r="COB73" s="800"/>
      <c r="COC73" s="800"/>
      <c r="COD73" s="800"/>
      <c r="COE73" s="800"/>
      <c r="COF73" s="705"/>
      <c r="COG73" s="799"/>
      <c r="COH73" s="800"/>
      <c r="COI73" s="800"/>
      <c r="COJ73" s="800"/>
      <c r="COK73" s="800"/>
      <c r="COL73" s="800"/>
      <c r="COM73" s="705"/>
      <c r="CON73" s="799"/>
      <c r="COO73" s="800"/>
      <c r="COP73" s="800"/>
      <c r="COQ73" s="800"/>
      <c r="COR73" s="800"/>
      <c r="COS73" s="800"/>
      <c r="COT73" s="705"/>
      <c r="COU73" s="799"/>
      <c r="COV73" s="800"/>
      <c r="COW73" s="800"/>
      <c r="COX73" s="800"/>
      <c r="COY73" s="800"/>
      <c r="COZ73" s="800"/>
      <c r="CPA73" s="705"/>
      <c r="CPB73" s="799"/>
      <c r="CPC73" s="800"/>
      <c r="CPD73" s="800"/>
      <c r="CPE73" s="800"/>
      <c r="CPF73" s="800"/>
      <c r="CPG73" s="800"/>
      <c r="CPH73" s="705"/>
      <c r="CPI73" s="799"/>
      <c r="CPJ73" s="800"/>
      <c r="CPK73" s="800"/>
      <c r="CPL73" s="800"/>
      <c r="CPM73" s="800"/>
      <c r="CPN73" s="800"/>
      <c r="CPO73" s="705"/>
      <c r="CPP73" s="799"/>
      <c r="CPQ73" s="800"/>
      <c r="CPR73" s="800"/>
      <c r="CPS73" s="800"/>
      <c r="CPT73" s="800"/>
      <c r="CPU73" s="800"/>
      <c r="CPV73" s="705"/>
      <c r="CPW73" s="799"/>
      <c r="CPX73" s="800"/>
      <c r="CPY73" s="800"/>
      <c r="CPZ73" s="800"/>
      <c r="CQA73" s="800"/>
      <c r="CQB73" s="800"/>
      <c r="CQC73" s="705"/>
      <c r="CQD73" s="799"/>
      <c r="CQE73" s="800"/>
      <c r="CQF73" s="800"/>
      <c r="CQG73" s="800"/>
      <c r="CQH73" s="800"/>
      <c r="CQI73" s="800"/>
      <c r="CQJ73" s="705"/>
      <c r="CQK73" s="799"/>
      <c r="CQL73" s="800"/>
      <c r="CQM73" s="800"/>
      <c r="CQN73" s="800"/>
      <c r="CQO73" s="800"/>
      <c r="CQP73" s="800"/>
      <c r="CQQ73" s="705"/>
      <c r="CQR73" s="799"/>
      <c r="CQS73" s="800"/>
      <c r="CQT73" s="800"/>
      <c r="CQU73" s="800"/>
      <c r="CQV73" s="800"/>
      <c r="CQW73" s="800"/>
      <c r="CQX73" s="705"/>
      <c r="CQY73" s="799"/>
      <c r="CQZ73" s="800"/>
      <c r="CRA73" s="800"/>
      <c r="CRB73" s="800"/>
      <c r="CRC73" s="800"/>
      <c r="CRD73" s="800"/>
      <c r="CRE73" s="705"/>
      <c r="CRF73" s="799"/>
      <c r="CRG73" s="800"/>
      <c r="CRH73" s="800"/>
      <c r="CRI73" s="800"/>
      <c r="CRJ73" s="800"/>
      <c r="CRK73" s="800"/>
      <c r="CRL73" s="705"/>
      <c r="CRM73" s="799"/>
      <c r="CRN73" s="800"/>
      <c r="CRO73" s="800"/>
      <c r="CRP73" s="800"/>
      <c r="CRQ73" s="800"/>
      <c r="CRR73" s="800"/>
      <c r="CRS73" s="705"/>
      <c r="CRT73" s="799"/>
      <c r="CRU73" s="800"/>
      <c r="CRV73" s="800"/>
      <c r="CRW73" s="800"/>
      <c r="CRX73" s="800"/>
      <c r="CRY73" s="800"/>
      <c r="CRZ73" s="705"/>
      <c r="CSA73" s="799"/>
      <c r="CSB73" s="800"/>
      <c r="CSC73" s="800"/>
      <c r="CSD73" s="800"/>
      <c r="CSE73" s="800"/>
      <c r="CSF73" s="800"/>
      <c r="CSG73" s="705"/>
      <c r="CSH73" s="799"/>
      <c r="CSI73" s="800"/>
      <c r="CSJ73" s="800"/>
      <c r="CSK73" s="800"/>
      <c r="CSL73" s="800"/>
      <c r="CSM73" s="800"/>
      <c r="CSN73" s="705"/>
      <c r="CSO73" s="799"/>
      <c r="CSP73" s="800"/>
      <c r="CSQ73" s="800"/>
      <c r="CSR73" s="800"/>
      <c r="CSS73" s="800"/>
      <c r="CST73" s="800"/>
      <c r="CSU73" s="705"/>
      <c r="CSV73" s="799"/>
      <c r="CSW73" s="800"/>
      <c r="CSX73" s="800"/>
      <c r="CSY73" s="800"/>
      <c r="CSZ73" s="800"/>
      <c r="CTA73" s="800"/>
      <c r="CTB73" s="705"/>
      <c r="CTC73" s="799"/>
      <c r="CTD73" s="800"/>
      <c r="CTE73" s="800"/>
      <c r="CTF73" s="800"/>
      <c r="CTG73" s="800"/>
      <c r="CTH73" s="800"/>
      <c r="CTI73" s="705"/>
      <c r="CTJ73" s="799"/>
      <c r="CTK73" s="800"/>
      <c r="CTL73" s="800"/>
      <c r="CTM73" s="800"/>
      <c r="CTN73" s="800"/>
      <c r="CTO73" s="800"/>
      <c r="CTP73" s="705"/>
      <c r="CTQ73" s="799"/>
      <c r="CTR73" s="800"/>
      <c r="CTS73" s="800"/>
      <c r="CTT73" s="800"/>
      <c r="CTU73" s="800"/>
      <c r="CTV73" s="800"/>
      <c r="CTW73" s="705"/>
      <c r="CTX73" s="799"/>
      <c r="CTY73" s="800"/>
      <c r="CTZ73" s="800"/>
      <c r="CUA73" s="800"/>
      <c r="CUB73" s="800"/>
      <c r="CUC73" s="800"/>
      <c r="CUD73" s="705"/>
      <c r="CUE73" s="799"/>
      <c r="CUF73" s="800"/>
      <c r="CUG73" s="800"/>
      <c r="CUH73" s="800"/>
      <c r="CUI73" s="800"/>
      <c r="CUJ73" s="800"/>
      <c r="CUK73" s="705"/>
      <c r="CUL73" s="799"/>
      <c r="CUM73" s="800"/>
      <c r="CUN73" s="800"/>
      <c r="CUO73" s="800"/>
      <c r="CUP73" s="800"/>
      <c r="CUQ73" s="800"/>
      <c r="CUR73" s="705"/>
      <c r="CUS73" s="799"/>
      <c r="CUT73" s="800"/>
      <c r="CUU73" s="800"/>
      <c r="CUV73" s="800"/>
      <c r="CUW73" s="800"/>
      <c r="CUX73" s="800"/>
      <c r="CUY73" s="705"/>
      <c r="CUZ73" s="799"/>
      <c r="CVA73" s="800"/>
      <c r="CVB73" s="800"/>
      <c r="CVC73" s="800"/>
      <c r="CVD73" s="800"/>
      <c r="CVE73" s="800"/>
      <c r="CVF73" s="705"/>
      <c r="CVG73" s="799"/>
      <c r="CVH73" s="800"/>
      <c r="CVI73" s="800"/>
      <c r="CVJ73" s="800"/>
      <c r="CVK73" s="800"/>
      <c r="CVL73" s="800"/>
      <c r="CVM73" s="705"/>
      <c r="CVN73" s="799"/>
      <c r="CVO73" s="800"/>
      <c r="CVP73" s="800"/>
      <c r="CVQ73" s="800"/>
      <c r="CVR73" s="800"/>
      <c r="CVS73" s="800"/>
      <c r="CVT73" s="705"/>
      <c r="CVU73" s="799"/>
      <c r="CVV73" s="800"/>
      <c r="CVW73" s="800"/>
      <c r="CVX73" s="800"/>
      <c r="CVY73" s="800"/>
      <c r="CVZ73" s="800"/>
      <c r="CWA73" s="705"/>
      <c r="CWB73" s="799"/>
      <c r="CWC73" s="800"/>
      <c r="CWD73" s="800"/>
      <c r="CWE73" s="800"/>
      <c r="CWF73" s="800"/>
      <c r="CWG73" s="800"/>
      <c r="CWH73" s="705"/>
      <c r="CWI73" s="799"/>
      <c r="CWJ73" s="800"/>
      <c r="CWK73" s="800"/>
      <c r="CWL73" s="800"/>
      <c r="CWM73" s="800"/>
      <c r="CWN73" s="800"/>
      <c r="CWO73" s="705"/>
      <c r="CWP73" s="799"/>
      <c r="CWQ73" s="800"/>
      <c r="CWR73" s="800"/>
      <c r="CWS73" s="800"/>
      <c r="CWT73" s="800"/>
      <c r="CWU73" s="800"/>
      <c r="CWV73" s="705"/>
      <c r="CWW73" s="799"/>
      <c r="CWX73" s="800"/>
      <c r="CWY73" s="800"/>
      <c r="CWZ73" s="800"/>
      <c r="CXA73" s="800"/>
      <c r="CXB73" s="800"/>
      <c r="CXC73" s="705"/>
      <c r="CXD73" s="799"/>
      <c r="CXE73" s="800"/>
      <c r="CXF73" s="800"/>
      <c r="CXG73" s="800"/>
      <c r="CXH73" s="800"/>
      <c r="CXI73" s="800"/>
      <c r="CXJ73" s="705"/>
      <c r="CXK73" s="799"/>
      <c r="CXL73" s="800"/>
      <c r="CXM73" s="800"/>
      <c r="CXN73" s="800"/>
      <c r="CXO73" s="800"/>
      <c r="CXP73" s="800"/>
      <c r="CXQ73" s="705"/>
      <c r="CXR73" s="799"/>
      <c r="CXS73" s="800"/>
      <c r="CXT73" s="800"/>
      <c r="CXU73" s="800"/>
      <c r="CXV73" s="800"/>
      <c r="CXW73" s="800"/>
      <c r="CXX73" s="705"/>
      <c r="CXY73" s="799"/>
      <c r="CXZ73" s="800"/>
      <c r="CYA73" s="800"/>
      <c r="CYB73" s="800"/>
      <c r="CYC73" s="800"/>
      <c r="CYD73" s="800"/>
      <c r="CYE73" s="705"/>
      <c r="CYF73" s="799"/>
      <c r="CYG73" s="800"/>
      <c r="CYH73" s="800"/>
      <c r="CYI73" s="800"/>
      <c r="CYJ73" s="800"/>
      <c r="CYK73" s="800"/>
      <c r="CYL73" s="705"/>
      <c r="CYM73" s="799"/>
      <c r="CYN73" s="800"/>
      <c r="CYO73" s="800"/>
      <c r="CYP73" s="800"/>
      <c r="CYQ73" s="800"/>
      <c r="CYR73" s="800"/>
      <c r="CYS73" s="705"/>
      <c r="CYT73" s="799"/>
      <c r="CYU73" s="800"/>
      <c r="CYV73" s="800"/>
      <c r="CYW73" s="800"/>
      <c r="CYX73" s="800"/>
      <c r="CYY73" s="800"/>
      <c r="CYZ73" s="705"/>
      <c r="CZA73" s="799"/>
      <c r="CZB73" s="800"/>
      <c r="CZC73" s="800"/>
      <c r="CZD73" s="800"/>
      <c r="CZE73" s="800"/>
      <c r="CZF73" s="800"/>
      <c r="CZG73" s="705"/>
      <c r="CZH73" s="799"/>
      <c r="CZI73" s="800"/>
      <c r="CZJ73" s="800"/>
      <c r="CZK73" s="800"/>
      <c r="CZL73" s="800"/>
      <c r="CZM73" s="800"/>
      <c r="CZN73" s="705"/>
      <c r="CZO73" s="799"/>
      <c r="CZP73" s="800"/>
      <c r="CZQ73" s="800"/>
      <c r="CZR73" s="800"/>
      <c r="CZS73" s="800"/>
      <c r="CZT73" s="800"/>
      <c r="CZU73" s="705"/>
      <c r="CZV73" s="799"/>
      <c r="CZW73" s="800"/>
      <c r="CZX73" s="800"/>
      <c r="CZY73" s="800"/>
      <c r="CZZ73" s="800"/>
      <c r="DAA73" s="800"/>
      <c r="DAB73" s="705"/>
      <c r="DAC73" s="799"/>
      <c r="DAD73" s="800"/>
      <c r="DAE73" s="800"/>
      <c r="DAF73" s="800"/>
      <c r="DAG73" s="800"/>
      <c r="DAH73" s="800"/>
      <c r="DAI73" s="705"/>
      <c r="DAJ73" s="799"/>
      <c r="DAK73" s="800"/>
      <c r="DAL73" s="800"/>
      <c r="DAM73" s="800"/>
      <c r="DAN73" s="800"/>
      <c r="DAO73" s="800"/>
      <c r="DAP73" s="705"/>
      <c r="DAQ73" s="799"/>
      <c r="DAR73" s="800"/>
      <c r="DAS73" s="800"/>
      <c r="DAT73" s="800"/>
      <c r="DAU73" s="800"/>
      <c r="DAV73" s="800"/>
      <c r="DAW73" s="705"/>
      <c r="DAX73" s="799"/>
      <c r="DAY73" s="800"/>
      <c r="DAZ73" s="800"/>
      <c r="DBA73" s="800"/>
      <c r="DBB73" s="800"/>
      <c r="DBC73" s="800"/>
      <c r="DBD73" s="705"/>
      <c r="DBE73" s="799"/>
      <c r="DBF73" s="800"/>
      <c r="DBG73" s="800"/>
      <c r="DBH73" s="800"/>
      <c r="DBI73" s="800"/>
      <c r="DBJ73" s="800"/>
      <c r="DBK73" s="705"/>
      <c r="DBL73" s="799"/>
      <c r="DBM73" s="800"/>
      <c r="DBN73" s="800"/>
      <c r="DBO73" s="800"/>
      <c r="DBP73" s="800"/>
      <c r="DBQ73" s="800"/>
      <c r="DBR73" s="705"/>
      <c r="DBS73" s="799"/>
      <c r="DBT73" s="800"/>
      <c r="DBU73" s="800"/>
      <c r="DBV73" s="800"/>
      <c r="DBW73" s="800"/>
      <c r="DBX73" s="800"/>
      <c r="DBY73" s="705"/>
      <c r="DBZ73" s="799"/>
      <c r="DCA73" s="800"/>
      <c r="DCB73" s="800"/>
      <c r="DCC73" s="800"/>
      <c r="DCD73" s="800"/>
      <c r="DCE73" s="800"/>
      <c r="DCF73" s="705"/>
      <c r="DCG73" s="799"/>
      <c r="DCH73" s="800"/>
      <c r="DCI73" s="800"/>
      <c r="DCJ73" s="800"/>
      <c r="DCK73" s="800"/>
      <c r="DCL73" s="800"/>
      <c r="DCM73" s="705"/>
      <c r="DCN73" s="799"/>
      <c r="DCO73" s="800"/>
      <c r="DCP73" s="800"/>
      <c r="DCQ73" s="800"/>
      <c r="DCR73" s="800"/>
      <c r="DCS73" s="800"/>
      <c r="DCT73" s="705"/>
      <c r="DCU73" s="799"/>
      <c r="DCV73" s="800"/>
      <c r="DCW73" s="800"/>
      <c r="DCX73" s="800"/>
      <c r="DCY73" s="800"/>
      <c r="DCZ73" s="800"/>
      <c r="DDA73" s="705"/>
      <c r="DDB73" s="799"/>
      <c r="DDC73" s="800"/>
      <c r="DDD73" s="800"/>
      <c r="DDE73" s="800"/>
      <c r="DDF73" s="800"/>
      <c r="DDG73" s="800"/>
      <c r="DDH73" s="705"/>
      <c r="DDI73" s="799"/>
      <c r="DDJ73" s="800"/>
      <c r="DDK73" s="800"/>
      <c r="DDL73" s="800"/>
      <c r="DDM73" s="800"/>
      <c r="DDN73" s="800"/>
      <c r="DDO73" s="705"/>
      <c r="DDP73" s="799"/>
      <c r="DDQ73" s="800"/>
      <c r="DDR73" s="800"/>
      <c r="DDS73" s="800"/>
      <c r="DDT73" s="800"/>
      <c r="DDU73" s="800"/>
      <c r="DDV73" s="705"/>
      <c r="DDW73" s="799"/>
      <c r="DDX73" s="800"/>
      <c r="DDY73" s="800"/>
      <c r="DDZ73" s="800"/>
      <c r="DEA73" s="800"/>
      <c r="DEB73" s="800"/>
      <c r="DEC73" s="705"/>
      <c r="DED73" s="799"/>
      <c r="DEE73" s="800"/>
      <c r="DEF73" s="800"/>
      <c r="DEG73" s="800"/>
      <c r="DEH73" s="800"/>
      <c r="DEI73" s="800"/>
      <c r="DEJ73" s="705"/>
      <c r="DEK73" s="799"/>
      <c r="DEL73" s="800"/>
      <c r="DEM73" s="800"/>
      <c r="DEN73" s="800"/>
      <c r="DEO73" s="800"/>
      <c r="DEP73" s="800"/>
      <c r="DEQ73" s="705"/>
      <c r="DER73" s="799"/>
      <c r="DES73" s="800"/>
      <c r="DET73" s="800"/>
      <c r="DEU73" s="800"/>
      <c r="DEV73" s="800"/>
      <c r="DEW73" s="800"/>
      <c r="DEX73" s="705"/>
      <c r="DEY73" s="799"/>
      <c r="DEZ73" s="800"/>
      <c r="DFA73" s="800"/>
      <c r="DFB73" s="800"/>
      <c r="DFC73" s="800"/>
      <c r="DFD73" s="800"/>
      <c r="DFE73" s="705"/>
      <c r="DFF73" s="799"/>
      <c r="DFG73" s="800"/>
      <c r="DFH73" s="800"/>
      <c r="DFI73" s="800"/>
      <c r="DFJ73" s="800"/>
      <c r="DFK73" s="800"/>
      <c r="DFL73" s="705"/>
      <c r="DFM73" s="799"/>
      <c r="DFN73" s="800"/>
      <c r="DFO73" s="800"/>
      <c r="DFP73" s="800"/>
      <c r="DFQ73" s="800"/>
      <c r="DFR73" s="800"/>
      <c r="DFS73" s="705"/>
      <c r="DFT73" s="799"/>
      <c r="DFU73" s="800"/>
      <c r="DFV73" s="800"/>
      <c r="DFW73" s="800"/>
      <c r="DFX73" s="800"/>
      <c r="DFY73" s="800"/>
      <c r="DFZ73" s="705"/>
      <c r="DGA73" s="799"/>
      <c r="DGB73" s="800"/>
      <c r="DGC73" s="800"/>
      <c r="DGD73" s="800"/>
      <c r="DGE73" s="800"/>
      <c r="DGF73" s="800"/>
      <c r="DGG73" s="705"/>
      <c r="DGH73" s="799"/>
      <c r="DGI73" s="800"/>
      <c r="DGJ73" s="800"/>
      <c r="DGK73" s="800"/>
      <c r="DGL73" s="800"/>
      <c r="DGM73" s="800"/>
      <c r="DGN73" s="705"/>
      <c r="DGO73" s="799"/>
      <c r="DGP73" s="800"/>
      <c r="DGQ73" s="800"/>
      <c r="DGR73" s="800"/>
      <c r="DGS73" s="800"/>
      <c r="DGT73" s="800"/>
      <c r="DGU73" s="705"/>
      <c r="DGV73" s="799"/>
      <c r="DGW73" s="800"/>
      <c r="DGX73" s="800"/>
      <c r="DGY73" s="800"/>
      <c r="DGZ73" s="800"/>
      <c r="DHA73" s="800"/>
      <c r="DHB73" s="705"/>
      <c r="DHC73" s="799"/>
      <c r="DHD73" s="800"/>
      <c r="DHE73" s="800"/>
      <c r="DHF73" s="800"/>
      <c r="DHG73" s="800"/>
      <c r="DHH73" s="800"/>
      <c r="DHI73" s="705"/>
      <c r="DHJ73" s="799"/>
      <c r="DHK73" s="800"/>
      <c r="DHL73" s="800"/>
      <c r="DHM73" s="800"/>
      <c r="DHN73" s="800"/>
      <c r="DHO73" s="800"/>
      <c r="DHP73" s="705"/>
      <c r="DHQ73" s="799"/>
      <c r="DHR73" s="800"/>
      <c r="DHS73" s="800"/>
      <c r="DHT73" s="800"/>
      <c r="DHU73" s="800"/>
      <c r="DHV73" s="800"/>
      <c r="DHW73" s="705"/>
      <c r="DHX73" s="799"/>
      <c r="DHY73" s="800"/>
      <c r="DHZ73" s="800"/>
      <c r="DIA73" s="800"/>
      <c r="DIB73" s="800"/>
      <c r="DIC73" s="800"/>
      <c r="DID73" s="705"/>
      <c r="DIE73" s="799"/>
      <c r="DIF73" s="800"/>
      <c r="DIG73" s="800"/>
      <c r="DIH73" s="800"/>
      <c r="DII73" s="800"/>
      <c r="DIJ73" s="800"/>
      <c r="DIK73" s="705"/>
      <c r="DIL73" s="799"/>
      <c r="DIM73" s="800"/>
      <c r="DIN73" s="800"/>
      <c r="DIO73" s="800"/>
      <c r="DIP73" s="800"/>
      <c r="DIQ73" s="800"/>
      <c r="DIR73" s="705"/>
      <c r="DIS73" s="799"/>
      <c r="DIT73" s="800"/>
      <c r="DIU73" s="800"/>
      <c r="DIV73" s="800"/>
      <c r="DIW73" s="800"/>
      <c r="DIX73" s="800"/>
      <c r="DIY73" s="705"/>
      <c r="DIZ73" s="799"/>
      <c r="DJA73" s="800"/>
      <c r="DJB73" s="800"/>
      <c r="DJC73" s="800"/>
      <c r="DJD73" s="800"/>
      <c r="DJE73" s="800"/>
      <c r="DJF73" s="705"/>
      <c r="DJG73" s="799"/>
      <c r="DJH73" s="800"/>
      <c r="DJI73" s="800"/>
      <c r="DJJ73" s="800"/>
      <c r="DJK73" s="800"/>
      <c r="DJL73" s="800"/>
      <c r="DJM73" s="705"/>
      <c r="DJN73" s="799"/>
      <c r="DJO73" s="800"/>
      <c r="DJP73" s="800"/>
      <c r="DJQ73" s="800"/>
      <c r="DJR73" s="800"/>
      <c r="DJS73" s="800"/>
      <c r="DJT73" s="705"/>
      <c r="DJU73" s="799"/>
      <c r="DJV73" s="800"/>
      <c r="DJW73" s="800"/>
      <c r="DJX73" s="800"/>
      <c r="DJY73" s="800"/>
      <c r="DJZ73" s="800"/>
      <c r="DKA73" s="705"/>
      <c r="DKB73" s="799"/>
      <c r="DKC73" s="800"/>
      <c r="DKD73" s="800"/>
      <c r="DKE73" s="800"/>
      <c r="DKF73" s="800"/>
      <c r="DKG73" s="800"/>
      <c r="DKH73" s="705"/>
      <c r="DKI73" s="799"/>
      <c r="DKJ73" s="800"/>
      <c r="DKK73" s="800"/>
      <c r="DKL73" s="800"/>
      <c r="DKM73" s="800"/>
      <c r="DKN73" s="800"/>
      <c r="DKO73" s="705"/>
      <c r="DKP73" s="799"/>
      <c r="DKQ73" s="800"/>
      <c r="DKR73" s="800"/>
      <c r="DKS73" s="800"/>
      <c r="DKT73" s="800"/>
      <c r="DKU73" s="800"/>
      <c r="DKV73" s="705"/>
      <c r="DKW73" s="799"/>
      <c r="DKX73" s="800"/>
      <c r="DKY73" s="800"/>
      <c r="DKZ73" s="800"/>
      <c r="DLA73" s="800"/>
      <c r="DLB73" s="800"/>
      <c r="DLC73" s="705"/>
      <c r="DLD73" s="799"/>
      <c r="DLE73" s="800"/>
      <c r="DLF73" s="800"/>
      <c r="DLG73" s="800"/>
      <c r="DLH73" s="800"/>
      <c r="DLI73" s="800"/>
      <c r="DLJ73" s="705"/>
      <c r="DLK73" s="799"/>
      <c r="DLL73" s="800"/>
      <c r="DLM73" s="800"/>
      <c r="DLN73" s="800"/>
      <c r="DLO73" s="800"/>
      <c r="DLP73" s="800"/>
      <c r="DLQ73" s="705"/>
      <c r="DLR73" s="799"/>
      <c r="DLS73" s="800"/>
      <c r="DLT73" s="800"/>
      <c r="DLU73" s="800"/>
      <c r="DLV73" s="800"/>
      <c r="DLW73" s="800"/>
      <c r="DLX73" s="705"/>
      <c r="DLY73" s="799"/>
      <c r="DLZ73" s="800"/>
      <c r="DMA73" s="800"/>
      <c r="DMB73" s="800"/>
      <c r="DMC73" s="800"/>
      <c r="DMD73" s="800"/>
      <c r="DME73" s="705"/>
      <c r="DMF73" s="799"/>
      <c r="DMG73" s="800"/>
      <c r="DMH73" s="800"/>
      <c r="DMI73" s="800"/>
      <c r="DMJ73" s="800"/>
      <c r="DMK73" s="800"/>
      <c r="DML73" s="705"/>
      <c r="DMM73" s="799"/>
      <c r="DMN73" s="800"/>
      <c r="DMO73" s="800"/>
      <c r="DMP73" s="800"/>
      <c r="DMQ73" s="800"/>
      <c r="DMR73" s="800"/>
      <c r="DMS73" s="705"/>
      <c r="DMT73" s="799"/>
      <c r="DMU73" s="800"/>
      <c r="DMV73" s="800"/>
      <c r="DMW73" s="800"/>
      <c r="DMX73" s="800"/>
      <c r="DMY73" s="800"/>
      <c r="DMZ73" s="705"/>
      <c r="DNA73" s="799"/>
      <c r="DNB73" s="800"/>
      <c r="DNC73" s="800"/>
      <c r="DND73" s="800"/>
      <c r="DNE73" s="800"/>
      <c r="DNF73" s="800"/>
      <c r="DNG73" s="705"/>
      <c r="DNH73" s="799"/>
      <c r="DNI73" s="800"/>
      <c r="DNJ73" s="800"/>
      <c r="DNK73" s="800"/>
      <c r="DNL73" s="800"/>
      <c r="DNM73" s="800"/>
      <c r="DNN73" s="705"/>
      <c r="DNO73" s="799"/>
      <c r="DNP73" s="800"/>
      <c r="DNQ73" s="800"/>
      <c r="DNR73" s="800"/>
      <c r="DNS73" s="800"/>
      <c r="DNT73" s="800"/>
      <c r="DNU73" s="705"/>
      <c r="DNV73" s="799"/>
      <c r="DNW73" s="800"/>
      <c r="DNX73" s="800"/>
      <c r="DNY73" s="800"/>
      <c r="DNZ73" s="800"/>
      <c r="DOA73" s="800"/>
      <c r="DOB73" s="705"/>
      <c r="DOC73" s="799"/>
      <c r="DOD73" s="800"/>
      <c r="DOE73" s="800"/>
      <c r="DOF73" s="800"/>
      <c r="DOG73" s="800"/>
      <c r="DOH73" s="800"/>
      <c r="DOI73" s="705"/>
      <c r="DOJ73" s="799"/>
      <c r="DOK73" s="800"/>
      <c r="DOL73" s="800"/>
      <c r="DOM73" s="800"/>
      <c r="DON73" s="800"/>
      <c r="DOO73" s="800"/>
      <c r="DOP73" s="705"/>
      <c r="DOQ73" s="799"/>
      <c r="DOR73" s="800"/>
      <c r="DOS73" s="800"/>
      <c r="DOT73" s="800"/>
      <c r="DOU73" s="800"/>
      <c r="DOV73" s="800"/>
      <c r="DOW73" s="705"/>
      <c r="DOX73" s="799"/>
      <c r="DOY73" s="800"/>
      <c r="DOZ73" s="800"/>
      <c r="DPA73" s="800"/>
      <c r="DPB73" s="800"/>
      <c r="DPC73" s="800"/>
      <c r="DPD73" s="705"/>
      <c r="DPE73" s="799"/>
      <c r="DPF73" s="800"/>
      <c r="DPG73" s="800"/>
      <c r="DPH73" s="800"/>
      <c r="DPI73" s="800"/>
      <c r="DPJ73" s="800"/>
      <c r="DPK73" s="705"/>
      <c r="DPL73" s="799"/>
      <c r="DPM73" s="800"/>
      <c r="DPN73" s="800"/>
      <c r="DPO73" s="800"/>
      <c r="DPP73" s="800"/>
      <c r="DPQ73" s="800"/>
      <c r="DPR73" s="705"/>
      <c r="DPS73" s="799"/>
      <c r="DPT73" s="800"/>
      <c r="DPU73" s="800"/>
      <c r="DPV73" s="800"/>
      <c r="DPW73" s="800"/>
      <c r="DPX73" s="800"/>
      <c r="DPY73" s="705"/>
      <c r="DPZ73" s="799"/>
      <c r="DQA73" s="800"/>
      <c r="DQB73" s="800"/>
      <c r="DQC73" s="800"/>
      <c r="DQD73" s="800"/>
      <c r="DQE73" s="800"/>
      <c r="DQF73" s="705"/>
      <c r="DQG73" s="799"/>
      <c r="DQH73" s="800"/>
      <c r="DQI73" s="800"/>
      <c r="DQJ73" s="800"/>
      <c r="DQK73" s="800"/>
      <c r="DQL73" s="800"/>
      <c r="DQM73" s="705"/>
      <c r="DQN73" s="799"/>
      <c r="DQO73" s="800"/>
      <c r="DQP73" s="800"/>
      <c r="DQQ73" s="800"/>
      <c r="DQR73" s="800"/>
      <c r="DQS73" s="800"/>
      <c r="DQT73" s="705"/>
      <c r="DQU73" s="799"/>
      <c r="DQV73" s="800"/>
      <c r="DQW73" s="800"/>
      <c r="DQX73" s="800"/>
      <c r="DQY73" s="800"/>
      <c r="DQZ73" s="800"/>
      <c r="DRA73" s="705"/>
      <c r="DRB73" s="799"/>
      <c r="DRC73" s="800"/>
      <c r="DRD73" s="800"/>
      <c r="DRE73" s="800"/>
      <c r="DRF73" s="800"/>
      <c r="DRG73" s="800"/>
      <c r="DRH73" s="705"/>
      <c r="DRI73" s="799"/>
      <c r="DRJ73" s="800"/>
      <c r="DRK73" s="800"/>
      <c r="DRL73" s="800"/>
      <c r="DRM73" s="800"/>
      <c r="DRN73" s="800"/>
      <c r="DRO73" s="705"/>
      <c r="DRP73" s="799"/>
      <c r="DRQ73" s="800"/>
      <c r="DRR73" s="800"/>
      <c r="DRS73" s="800"/>
      <c r="DRT73" s="800"/>
      <c r="DRU73" s="800"/>
      <c r="DRV73" s="705"/>
      <c r="DRW73" s="799"/>
      <c r="DRX73" s="800"/>
      <c r="DRY73" s="800"/>
      <c r="DRZ73" s="800"/>
      <c r="DSA73" s="800"/>
      <c r="DSB73" s="800"/>
      <c r="DSC73" s="705"/>
      <c r="DSD73" s="799"/>
      <c r="DSE73" s="800"/>
      <c r="DSF73" s="800"/>
      <c r="DSG73" s="800"/>
      <c r="DSH73" s="800"/>
      <c r="DSI73" s="800"/>
      <c r="DSJ73" s="705"/>
      <c r="DSK73" s="799"/>
      <c r="DSL73" s="800"/>
      <c r="DSM73" s="800"/>
      <c r="DSN73" s="800"/>
      <c r="DSO73" s="800"/>
      <c r="DSP73" s="800"/>
      <c r="DSQ73" s="705"/>
      <c r="DSR73" s="799"/>
      <c r="DSS73" s="800"/>
      <c r="DST73" s="800"/>
      <c r="DSU73" s="800"/>
      <c r="DSV73" s="800"/>
      <c r="DSW73" s="800"/>
      <c r="DSX73" s="705"/>
      <c r="DSY73" s="799"/>
      <c r="DSZ73" s="800"/>
      <c r="DTA73" s="800"/>
      <c r="DTB73" s="800"/>
      <c r="DTC73" s="800"/>
      <c r="DTD73" s="800"/>
      <c r="DTE73" s="705"/>
      <c r="DTF73" s="799"/>
      <c r="DTG73" s="800"/>
      <c r="DTH73" s="800"/>
      <c r="DTI73" s="800"/>
      <c r="DTJ73" s="800"/>
      <c r="DTK73" s="800"/>
      <c r="DTL73" s="705"/>
      <c r="DTM73" s="799"/>
      <c r="DTN73" s="800"/>
      <c r="DTO73" s="800"/>
      <c r="DTP73" s="800"/>
      <c r="DTQ73" s="800"/>
      <c r="DTR73" s="800"/>
      <c r="DTS73" s="705"/>
      <c r="DTT73" s="799"/>
      <c r="DTU73" s="800"/>
      <c r="DTV73" s="800"/>
      <c r="DTW73" s="800"/>
      <c r="DTX73" s="800"/>
      <c r="DTY73" s="800"/>
      <c r="DTZ73" s="705"/>
      <c r="DUA73" s="799"/>
      <c r="DUB73" s="800"/>
      <c r="DUC73" s="800"/>
      <c r="DUD73" s="800"/>
      <c r="DUE73" s="800"/>
      <c r="DUF73" s="800"/>
      <c r="DUG73" s="705"/>
      <c r="DUH73" s="799"/>
      <c r="DUI73" s="800"/>
      <c r="DUJ73" s="800"/>
      <c r="DUK73" s="800"/>
      <c r="DUL73" s="800"/>
      <c r="DUM73" s="800"/>
      <c r="DUN73" s="705"/>
      <c r="DUO73" s="799"/>
      <c r="DUP73" s="800"/>
      <c r="DUQ73" s="800"/>
      <c r="DUR73" s="800"/>
      <c r="DUS73" s="800"/>
      <c r="DUT73" s="800"/>
      <c r="DUU73" s="705"/>
      <c r="DUV73" s="799"/>
      <c r="DUW73" s="800"/>
      <c r="DUX73" s="800"/>
      <c r="DUY73" s="800"/>
      <c r="DUZ73" s="800"/>
      <c r="DVA73" s="800"/>
      <c r="DVB73" s="705"/>
      <c r="DVC73" s="799"/>
      <c r="DVD73" s="800"/>
      <c r="DVE73" s="800"/>
      <c r="DVF73" s="800"/>
      <c r="DVG73" s="800"/>
      <c r="DVH73" s="800"/>
      <c r="DVI73" s="705"/>
      <c r="DVJ73" s="799"/>
      <c r="DVK73" s="800"/>
      <c r="DVL73" s="800"/>
      <c r="DVM73" s="800"/>
      <c r="DVN73" s="800"/>
      <c r="DVO73" s="800"/>
      <c r="DVP73" s="705"/>
      <c r="DVQ73" s="799"/>
      <c r="DVR73" s="800"/>
      <c r="DVS73" s="800"/>
      <c r="DVT73" s="800"/>
      <c r="DVU73" s="800"/>
      <c r="DVV73" s="800"/>
      <c r="DVW73" s="705"/>
      <c r="DVX73" s="799"/>
      <c r="DVY73" s="800"/>
      <c r="DVZ73" s="800"/>
      <c r="DWA73" s="800"/>
      <c r="DWB73" s="800"/>
      <c r="DWC73" s="800"/>
      <c r="DWD73" s="705"/>
      <c r="DWE73" s="799"/>
      <c r="DWF73" s="800"/>
      <c r="DWG73" s="800"/>
      <c r="DWH73" s="800"/>
      <c r="DWI73" s="800"/>
      <c r="DWJ73" s="800"/>
      <c r="DWK73" s="705"/>
      <c r="DWL73" s="799"/>
      <c r="DWM73" s="800"/>
      <c r="DWN73" s="800"/>
      <c r="DWO73" s="800"/>
      <c r="DWP73" s="800"/>
      <c r="DWQ73" s="800"/>
      <c r="DWR73" s="705"/>
      <c r="DWS73" s="799"/>
      <c r="DWT73" s="800"/>
      <c r="DWU73" s="800"/>
      <c r="DWV73" s="800"/>
      <c r="DWW73" s="800"/>
      <c r="DWX73" s="800"/>
      <c r="DWY73" s="705"/>
      <c r="DWZ73" s="799"/>
      <c r="DXA73" s="800"/>
      <c r="DXB73" s="800"/>
      <c r="DXC73" s="800"/>
      <c r="DXD73" s="800"/>
      <c r="DXE73" s="800"/>
      <c r="DXF73" s="705"/>
      <c r="DXG73" s="799"/>
      <c r="DXH73" s="800"/>
      <c r="DXI73" s="800"/>
      <c r="DXJ73" s="800"/>
      <c r="DXK73" s="800"/>
      <c r="DXL73" s="800"/>
      <c r="DXM73" s="705"/>
      <c r="DXN73" s="799"/>
      <c r="DXO73" s="800"/>
      <c r="DXP73" s="800"/>
      <c r="DXQ73" s="800"/>
      <c r="DXR73" s="800"/>
      <c r="DXS73" s="800"/>
      <c r="DXT73" s="705"/>
      <c r="DXU73" s="799"/>
      <c r="DXV73" s="800"/>
      <c r="DXW73" s="800"/>
      <c r="DXX73" s="800"/>
      <c r="DXY73" s="800"/>
      <c r="DXZ73" s="800"/>
      <c r="DYA73" s="705"/>
      <c r="DYB73" s="799"/>
      <c r="DYC73" s="800"/>
      <c r="DYD73" s="800"/>
      <c r="DYE73" s="800"/>
      <c r="DYF73" s="800"/>
      <c r="DYG73" s="800"/>
      <c r="DYH73" s="705"/>
      <c r="DYI73" s="799"/>
      <c r="DYJ73" s="800"/>
      <c r="DYK73" s="800"/>
      <c r="DYL73" s="800"/>
      <c r="DYM73" s="800"/>
      <c r="DYN73" s="800"/>
      <c r="DYO73" s="705"/>
      <c r="DYP73" s="799"/>
      <c r="DYQ73" s="800"/>
      <c r="DYR73" s="800"/>
      <c r="DYS73" s="800"/>
      <c r="DYT73" s="800"/>
      <c r="DYU73" s="800"/>
      <c r="DYV73" s="705"/>
      <c r="DYW73" s="799"/>
      <c r="DYX73" s="800"/>
      <c r="DYY73" s="800"/>
      <c r="DYZ73" s="800"/>
      <c r="DZA73" s="800"/>
      <c r="DZB73" s="800"/>
      <c r="DZC73" s="705"/>
      <c r="DZD73" s="799"/>
      <c r="DZE73" s="800"/>
      <c r="DZF73" s="800"/>
      <c r="DZG73" s="800"/>
      <c r="DZH73" s="800"/>
      <c r="DZI73" s="800"/>
      <c r="DZJ73" s="705"/>
      <c r="DZK73" s="799"/>
      <c r="DZL73" s="800"/>
      <c r="DZM73" s="800"/>
      <c r="DZN73" s="800"/>
      <c r="DZO73" s="800"/>
      <c r="DZP73" s="800"/>
      <c r="DZQ73" s="705"/>
      <c r="DZR73" s="799"/>
      <c r="DZS73" s="800"/>
      <c r="DZT73" s="800"/>
      <c r="DZU73" s="800"/>
      <c r="DZV73" s="800"/>
      <c r="DZW73" s="800"/>
      <c r="DZX73" s="705"/>
      <c r="DZY73" s="799"/>
      <c r="DZZ73" s="800"/>
      <c r="EAA73" s="800"/>
      <c r="EAB73" s="800"/>
      <c r="EAC73" s="800"/>
      <c r="EAD73" s="800"/>
      <c r="EAE73" s="705"/>
      <c r="EAF73" s="799"/>
      <c r="EAG73" s="800"/>
      <c r="EAH73" s="800"/>
      <c r="EAI73" s="800"/>
      <c r="EAJ73" s="800"/>
      <c r="EAK73" s="800"/>
      <c r="EAL73" s="705"/>
      <c r="EAM73" s="799"/>
      <c r="EAN73" s="800"/>
      <c r="EAO73" s="800"/>
      <c r="EAP73" s="800"/>
      <c r="EAQ73" s="800"/>
      <c r="EAR73" s="800"/>
      <c r="EAS73" s="705"/>
      <c r="EAT73" s="799"/>
      <c r="EAU73" s="800"/>
      <c r="EAV73" s="800"/>
      <c r="EAW73" s="800"/>
      <c r="EAX73" s="800"/>
      <c r="EAY73" s="800"/>
      <c r="EAZ73" s="705"/>
      <c r="EBA73" s="799"/>
      <c r="EBB73" s="800"/>
      <c r="EBC73" s="800"/>
      <c r="EBD73" s="800"/>
      <c r="EBE73" s="800"/>
      <c r="EBF73" s="800"/>
      <c r="EBG73" s="705"/>
      <c r="EBH73" s="799"/>
      <c r="EBI73" s="800"/>
      <c r="EBJ73" s="800"/>
      <c r="EBK73" s="800"/>
      <c r="EBL73" s="800"/>
      <c r="EBM73" s="800"/>
      <c r="EBN73" s="705"/>
      <c r="EBO73" s="799"/>
      <c r="EBP73" s="800"/>
      <c r="EBQ73" s="800"/>
      <c r="EBR73" s="800"/>
      <c r="EBS73" s="800"/>
      <c r="EBT73" s="800"/>
      <c r="EBU73" s="705"/>
      <c r="EBV73" s="799"/>
      <c r="EBW73" s="800"/>
      <c r="EBX73" s="800"/>
      <c r="EBY73" s="800"/>
      <c r="EBZ73" s="800"/>
      <c r="ECA73" s="800"/>
      <c r="ECB73" s="705"/>
      <c r="ECC73" s="799"/>
      <c r="ECD73" s="800"/>
      <c r="ECE73" s="800"/>
      <c r="ECF73" s="800"/>
      <c r="ECG73" s="800"/>
      <c r="ECH73" s="800"/>
      <c r="ECI73" s="705"/>
      <c r="ECJ73" s="799"/>
      <c r="ECK73" s="800"/>
      <c r="ECL73" s="800"/>
      <c r="ECM73" s="800"/>
      <c r="ECN73" s="800"/>
      <c r="ECO73" s="800"/>
      <c r="ECP73" s="705"/>
      <c r="ECQ73" s="799"/>
      <c r="ECR73" s="800"/>
      <c r="ECS73" s="800"/>
      <c r="ECT73" s="800"/>
      <c r="ECU73" s="800"/>
      <c r="ECV73" s="800"/>
      <c r="ECW73" s="705"/>
      <c r="ECX73" s="799"/>
      <c r="ECY73" s="800"/>
      <c r="ECZ73" s="800"/>
      <c r="EDA73" s="800"/>
      <c r="EDB73" s="800"/>
      <c r="EDC73" s="800"/>
      <c r="EDD73" s="705"/>
      <c r="EDE73" s="799"/>
      <c r="EDF73" s="800"/>
      <c r="EDG73" s="800"/>
      <c r="EDH73" s="800"/>
      <c r="EDI73" s="800"/>
      <c r="EDJ73" s="800"/>
      <c r="EDK73" s="705"/>
      <c r="EDL73" s="799"/>
      <c r="EDM73" s="800"/>
      <c r="EDN73" s="800"/>
      <c r="EDO73" s="800"/>
      <c r="EDP73" s="800"/>
      <c r="EDQ73" s="800"/>
      <c r="EDR73" s="705"/>
      <c r="EDS73" s="799"/>
      <c r="EDT73" s="800"/>
      <c r="EDU73" s="800"/>
      <c r="EDV73" s="800"/>
      <c r="EDW73" s="800"/>
      <c r="EDX73" s="800"/>
      <c r="EDY73" s="705"/>
      <c r="EDZ73" s="799"/>
      <c r="EEA73" s="800"/>
      <c r="EEB73" s="800"/>
      <c r="EEC73" s="800"/>
      <c r="EED73" s="800"/>
      <c r="EEE73" s="800"/>
      <c r="EEF73" s="705"/>
      <c r="EEG73" s="799"/>
      <c r="EEH73" s="800"/>
      <c r="EEI73" s="800"/>
      <c r="EEJ73" s="800"/>
      <c r="EEK73" s="800"/>
      <c r="EEL73" s="800"/>
      <c r="EEM73" s="705"/>
      <c r="EEN73" s="799"/>
      <c r="EEO73" s="800"/>
      <c r="EEP73" s="800"/>
      <c r="EEQ73" s="800"/>
      <c r="EER73" s="800"/>
      <c r="EES73" s="800"/>
      <c r="EET73" s="705"/>
      <c r="EEU73" s="799"/>
      <c r="EEV73" s="800"/>
      <c r="EEW73" s="800"/>
      <c r="EEX73" s="800"/>
      <c r="EEY73" s="800"/>
      <c r="EEZ73" s="800"/>
      <c r="EFA73" s="705"/>
      <c r="EFB73" s="799"/>
      <c r="EFC73" s="800"/>
      <c r="EFD73" s="800"/>
      <c r="EFE73" s="800"/>
      <c r="EFF73" s="800"/>
      <c r="EFG73" s="800"/>
      <c r="EFH73" s="705"/>
      <c r="EFI73" s="799"/>
      <c r="EFJ73" s="800"/>
      <c r="EFK73" s="800"/>
      <c r="EFL73" s="800"/>
      <c r="EFM73" s="800"/>
      <c r="EFN73" s="800"/>
      <c r="EFO73" s="705"/>
      <c r="EFP73" s="799"/>
      <c r="EFQ73" s="800"/>
      <c r="EFR73" s="800"/>
      <c r="EFS73" s="800"/>
      <c r="EFT73" s="800"/>
      <c r="EFU73" s="800"/>
      <c r="EFV73" s="705"/>
      <c r="EFW73" s="799"/>
      <c r="EFX73" s="800"/>
      <c r="EFY73" s="800"/>
      <c r="EFZ73" s="800"/>
      <c r="EGA73" s="800"/>
      <c r="EGB73" s="800"/>
      <c r="EGC73" s="705"/>
      <c r="EGD73" s="799"/>
      <c r="EGE73" s="800"/>
      <c r="EGF73" s="800"/>
      <c r="EGG73" s="800"/>
      <c r="EGH73" s="800"/>
      <c r="EGI73" s="800"/>
      <c r="EGJ73" s="705"/>
      <c r="EGK73" s="799"/>
      <c r="EGL73" s="800"/>
      <c r="EGM73" s="800"/>
      <c r="EGN73" s="800"/>
      <c r="EGO73" s="800"/>
      <c r="EGP73" s="800"/>
      <c r="EGQ73" s="705"/>
      <c r="EGR73" s="799"/>
      <c r="EGS73" s="800"/>
      <c r="EGT73" s="800"/>
      <c r="EGU73" s="800"/>
      <c r="EGV73" s="800"/>
      <c r="EGW73" s="800"/>
      <c r="EGX73" s="705"/>
      <c r="EGY73" s="799"/>
      <c r="EGZ73" s="800"/>
      <c r="EHA73" s="800"/>
      <c r="EHB73" s="800"/>
      <c r="EHC73" s="800"/>
      <c r="EHD73" s="800"/>
      <c r="EHE73" s="705"/>
      <c r="EHF73" s="799"/>
      <c r="EHG73" s="800"/>
      <c r="EHH73" s="800"/>
      <c r="EHI73" s="800"/>
      <c r="EHJ73" s="800"/>
      <c r="EHK73" s="800"/>
      <c r="EHL73" s="705"/>
      <c r="EHM73" s="799"/>
      <c r="EHN73" s="800"/>
      <c r="EHO73" s="800"/>
      <c r="EHP73" s="800"/>
      <c r="EHQ73" s="800"/>
      <c r="EHR73" s="800"/>
      <c r="EHS73" s="705"/>
      <c r="EHT73" s="799"/>
      <c r="EHU73" s="800"/>
      <c r="EHV73" s="800"/>
      <c r="EHW73" s="800"/>
      <c r="EHX73" s="800"/>
      <c r="EHY73" s="800"/>
      <c r="EHZ73" s="705"/>
      <c r="EIA73" s="799"/>
      <c r="EIB73" s="800"/>
      <c r="EIC73" s="800"/>
      <c r="EID73" s="800"/>
      <c r="EIE73" s="800"/>
      <c r="EIF73" s="800"/>
      <c r="EIG73" s="705"/>
      <c r="EIH73" s="799"/>
      <c r="EII73" s="800"/>
      <c r="EIJ73" s="800"/>
      <c r="EIK73" s="800"/>
      <c r="EIL73" s="800"/>
      <c r="EIM73" s="800"/>
      <c r="EIN73" s="705"/>
      <c r="EIO73" s="799"/>
      <c r="EIP73" s="800"/>
      <c r="EIQ73" s="800"/>
      <c r="EIR73" s="800"/>
      <c r="EIS73" s="800"/>
      <c r="EIT73" s="800"/>
      <c r="EIU73" s="705"/>
      <c r="EIV73" s="799"/>
      <c r="EIW73" s="800"/>
      <c r="EIX73" s="800"/>
      <c r="EIY73" s="800"/>
      <c r="EIZ73" s="800"/>
      <c r="EJA73" s="800"/>
      <c r="EJB73" s="705"/>
      <c r="EJC73" s="799"/>
      <c r="EJD73" s="800"/>
      <c r="EJE73" s="800"/>
      <c r="EJF73" s="800"/>
      <c r="EJG73" s="800"/>
      <c r="EJH73" s="800"/>
      <c r="EJI73" s="705"/>
      <c r="EJJ73" s="799"/>
      <c r="EJK73" s="800"/>
      <c r="EJL73" s="800"/>
      <c r="EJM73" s="800"/>
      <c r="EJN73" s="800"/>
      <c r="EJO73" s="800"/>
      <c r="EJP73" s="705"/>
      <c r="EJQ73" s="799"/>
      <c r="EJR73" s="800"/>
      <c r="EJS73" s="800"/>
      <c r="EJT73" s="800"/>
      <c r="EJU73" s="800"/>
      <c r="EJV73" s="800"/>
      <c r="EJW73" s="705"/>
      <c r="EJX73" s="799"/>
      <c r="EJY73" s="800"/>
      <c r="EJZ73" s="800"/>
      <c r="EKA73" s="800"/>
      <c r="EKB73" s="800"/>
      <c r="EKC73" s="800"/>
      <c r="EKD73" s="705"/>
      <c r="EKE73" s="799"/>
      <c r="EKF73" s="800"/>
      <c r="EKG73" s="800"/>
      <c r="EKH73" s="800"/>
      <c r="EKI73" s="800"/>
      <c r="EKJ73" s="800"/>
      <c r="EKK73" s="705"/>
      <c r="EKL73" s="799"/>
      <c r="EKM73" s="800"/>
      <c r="EKN73" s="800"/>
      <c r="EKO73" s="800"/>
      <c r="EKP73" s="800"/>
      <c r="EKQ73" s="800"/>
      <c r="EKR73" s="705"/>
      <c r="EKS73" s="799"/>
      <c r="EKT73" s="800"/>
      <c r="EKU73" s="800"/>
      <c r="EKV73" s="800"/>
      <c r="EKW73" s="800"/>
      <c r="EKX73" s="800"/>
      <c r="EKY73" s="705"/>
      <c r="EKZ73" s="799"/>
      <c r="ELA73" s="800"/>
      <c r="ELB73" s="800"/>
      <c r="ELC73" s="800"/>
      <c r="ELD73" s="800"/>
      <c r="ELE73" s="800"/>
      <c r="ELF73" s="705"/>
      <c r="ELG73" s="799"/>
      <c r="ELH73" s="800"/>
      <c r="ELI73" s="800"/>
      <c r="ELJ73" s="800"/>
      <c r="ELK73" s="800"/>
      <c r="ELL73" s="800"/>
      <c r="ELM73" s="705"/>
      <c r="ELN73" s="799"/>
      <c r="ELO73" s="800"/>
      <c r="ELP73" s="800"/>
      <c r="ELQ73" s="800"/>
      <c r="ELR73" s="800"/>
      <c r="ELS73" s="800"/>
      <c r="ELT73" s="705"/>
      <c r="ELU73" s="799"/>
      <c r="ELV73" s="800"/>
      <c r="ELW73" s="800"/>
      <c r="ELX73" s="800"/>
      <c r="ELY73" s="800"/>
      <c r="ELZ73" s="800"/>
      <c r="EMA73" s="705"/>
      <c r="EMB73" s="799"/>
      <c r="EMC73" s="800"/>
      <c r="EMD73" s="800"/>
      <c r="EME73" s="800"/>
      <c r="EMF73" s="800"/>
      <c r="EMG73" s="800"/>
      <c r="EMH73" s="705"/>
      <c r="EMI73" s="799"/>
      <c r="EMJ73" s="800"/>
      <c r="EMK73" s="800"/>
      <c r="EML73" s="800"/>
      <c r="EMM73" s="800"/>
      <c r="EMN73" s="800"/>
      <c r="EMO73" s="705"/>
      <c r="EMP73" s="799"/>
      <c r="EMQ73" s="800"/>
      <c r="EMR73" s="800"/>
      <c r="EMS73" s="800"/>
      <c r="EMT73" s="800"/>
      <c r="EMU73" s="800"/>
      <c r="EMV73" s="705"/>
      <c r="EMW73" s="799"/>
      <c r="EMX73" s="800"/>
      <c r="EMY73" s="800"/>
      <c r="EMZ73" s="800"/>
      <c r="ENA73" s="800"/>
      <c r="ENB73" s="800"/>
      <c r="ENC73" s="705"/>
      <c r="END73" s="799"/>
      <c r="ENE73" s="800"/>
      <c r="ENF73" s="800"/>
      <c r="ENG73" s="800"/>
      <c r="ENH73" s="800"/>
      <c r="ENI73" s="800"/>
      <c r="ENJ73" s="705"/>
      <c r="ENK73" s="799"/>
      <c r="ENL73" s="800"/>
      <c r="ENM73" s="800"/>
      <c r="ENN73" s="800"/>
      <c r="ENO73" s="800"/>
      <c r="ENP73" s="800"/>
      <c r="ENQ73" s="705"/>
      <c r="ENR73" s="799"/>
      <c r="ENS73" s="800"/>
      <c r="ENT73" s="800"/>
      <c r="ENU73" s="800"/>
      <c r="ENV73" s="800"/>
      <c r="ENW73" s="800"/>
      <c r="ENX73" s="705"/>
      <c r="ENY73" s="799"/>
      <c r="ENZ73" s="800"/>
      <c r="EOA73" s="800"/>
      <c r="EOB73" s="800"/>
      <c r="EOC73" s="800"/>
      <c r="EOD73" s="800"/>
      <c r="EOE73" s="705"/>
      <c r="EOF73" s="799"/>
      <c r="EOG73" s="800"/>
      <c r="EOH73" s="800"/>
      <c r="EOI73" s="800"/>
      <c r="EOJ73" s="800"/>
      <c r="EOK73" s="800"/>
      <c r="EOL73" s="705"/>
      <c r="EOM73" s="799"/>
      <c r="EON73" s="800"/>
      <c r="EOO73" s="800"/>
      <c r="EOP73" s="800"/>
      <c r="EOQ73" s="800"/>
      <c r="EOR73" s="800"/>
      <c r="EOS73" s="705"/>
      <c r="EOT73" s="799"/>
      <c r="EOU73" s="800"/>
      <c r="EOV73" s="800"/>
      <c r="EOW73" s="800"/>
      <c r="EOX73" s="800"/>
      <c r="EOY73" s="800"/>
      <c r="EOZ73" s="705"/>
      <c r="EPA73" s="799"/>
      <c r="EPB73" s="800"/>
      <c r="EPC73" s="800"/>
      <c r="EPD73" s="800"/>
      <c r="EPE73" s="800"/>
      <c r="EPF73" s="800"/>
      <c r="EPG73" s="705"/>
      <c r="EPH73" s="799"/>
      <c r="EPI73" s="800"/>
      <c r="EPJ73" s="800"/>
      <c r="EPK73" s="800"/>
      <c r="EPL73" s="800"/>
      <c r="EPM73" s="800"/>
      <c r="EPN73" s="705"/>
      <c r="EPO73" s="799"/>
      <c r="EPP73" s="800"/>
      <c r="EPQ73" s="800"/>
      <c r="EPR73" s="800"/>
      <c r="EPS73" s="800"/>
      <c r="EPT73" s="800"/>
      <c r="EPU73" s="705"/>
      <c r="EPV73" s="799"/>
      <c r="EPW73" s="800"/>
      <c r="EPX73" s="800"/>
      <c r="EPY73" s="800"/>
      <c r="EPZ73" s="800"/>
      <c r="EQA73" s="800"/>
      <c r="EQB73" s="705"/>
      <c r="EQC73" s="799"/>
      <c r="EQD73" s="800"/>
      <c r="EQE73" s="800"/>
      <c r="EQF73" s="800"/>
      <c r="EQG73" s="800"/>
      <c r="EQH73" s="800"/>
      <c r="EQI73" s="705"/>
      <c r="EQJ73" s="799"/>
      <c r="EQK73" s="800"/>
      <c r="EQL73" s="800"/>
      <c r="EQM73" s="800"/>
      <c r="EQN73" s="800"/>
      <c r="EQO73" s="800"/>
      <c r="EQP73" s="705"/>
      <c r="EQQ73" s="799"/>
      <c r="EQR73" s="800"/>
      <c r="EQS73" s="800"/>
      <c r="EQT73" s="800"/>
      <c r="EQU73" s="800"/>
      <c r="EQV73" s="800"/>
      <c r="EQW73" s="705"/>
      <c r="EQX73" s="799"/>
      <c r="EQY73" s="800"/>
      <c r="EQZ73" s="800"/>
      <c r="ERA73" s="800"/>
      <c r="ERB73" s="800"/>
      <c r="ERC73" s="800"/>
      <c r="ERD73" s="705"/>
      <c r="ERE73" s="799"/>
      <c r="ERF73" s="800"/>
      <c r="ERG73" s="800"/>
      <c r="ERH73" s="800"/>
      <c r="ERI73" s="800"/>
      <c r="ERJ73" s="800"/>
      <c r="ERK73" s="705"/>
      <c r="ERL73" s="799"/>
      <c r="ERM73" s="800"/>
      <c r="ERN73" s="800"/>
      <c r="ERO73" s="800"/>
      <c r="ERP73" s="800"/>
      <c r="ERQ73" s="800"/>
      <c r="ERR73" s="705"/>
      <c r="ERS73" s="799"/>
      <c r="ERT73" s="800"/>
      <c r="ERU73" s="800"/>
      <c r="ERV73" s="800"/>
      <c r="ERW73" s="800"/>
      <c r="ERX73" s="800"/>
      <c r="ERY73" s="705"/>
      <c r="ERZ73" s="799"/>
      <c r="ESA73" s="800"/>
      <c r="ESB73" s="800"/>
      <c r="ESC73" s="800"/>
      <c r="ESD73" s="800"/>
      <c r="ESE73" s="800"/>
      <c r="ESF73" s="705"/>
      <c r="ESG73" s="799"/>
      <c r="ESH73" s="800"/>
      <c r="ESI73" s="800"/>
      <c r="ESJ73" s="800"/>
      <c r="ESK73" s="800"/>
      <c r="ESL73" s="800"/>
      <c r="ESM73" s="705"/>
      <c r="ESN73" s="799"/>
      <c r="ESO73" s="800"/>
      <c r="ESP73" s="800"/>
      <c r="ESQ73" s="800"/>
      <c r="ESR73" s="800"/>
      <c r="ESS73" s="800"/>
      <c r="EST73" s="705"/>
      <c r="ESU73" s="799"/>
      <c r="ESV73" s="800"/>
      <c r="ESW73" s="800"/>
      <c r="ESX73" s="800"/>
      <c r="ESY73" s="800"/>
      <c r="ESZ73" s="800"/>
      <c r="ETA73" s="705"/>
      <c r="ETB73" s="799"/>
      <c r="ETC73" s="800"/>
      <c r="ETD73" s="800"/>
      <c r="ETE73" s="800"/>
      <c r="ETF73" s="800"/>
      <c r="ETG73" s="800"/>
      <c r="ETH73" s="705"/>
      <c r="ETI73" s="799"/>
      <c r="ETJ73" s="800"/>
      <c r="ETK73" s="800"/>
      <c r="ETL73" s="800"/>
      <c r="ETM73" s="800"/>
      <c r="ETN73" s="800"/>
      <c r="ETO73" s="705"/>
      <c r="ETP73" s="799"/>
      <c r="ETQ73" s="800"/>
      <c r="ETR73" s="800"/>
      <c r="ETS73" s="800"/>
      <c r="ETT73" s="800"/>
      <c r="ETU73" s="800"/>
      <c r="ETV73" s="705"/>
      <c r="ETW73" s="799"/>
      <c r="ETX73" s="800"/>
      <c r="ETY73" s="800"/>
      <c r="ETZ73" s="800"/>
      <c r="EUA73" s="800"/>
      <c r="EUB73" s="800"/>
      <c r="EUC73" s="705"/>
      <c r="EUD73" s="799"/>
      <c r="EUE73" s="800"/>
      <c r="EUF73" s="800"/>
      <c r="EUG73" s="800"/>
      <c r="EUH73" s="800"/>
      <c r="EUI73" s="800"/>
      <c r="EUJ73" s="705"/>
      <c r="EUK73" s="799"/>
      <c r="EUL73" s="800"/>
      <c r="EUM73" s="800"/>
      <c r="EUN73" s="800"/>
      <c r="EUO73" s="800"/>
      <c r="EUP73" s="800"/>
      <c r="EUQ73" s="705"/>
      <c r="EUR73" s="799"/>
      <c r="EUS73" s="800"/>
      <c r="EUT73" s="800"/>
      <c r="EUU73" s="800"/>
      <c r="EUV73" s="800"/>
      <c r="EUW73" s="800"/>
      <c r="EUX73" s="705"/>
      <c r="EUY73" s="799"/>
      <c r="EUZ73" s="800"/>
      <c r="EVA73" s="800"/>
      <c r="EVB73" s="800"/>
      <c r="EVC73" s="800"/>
      <c r="EVD73" s="800"/>
      <c r="EVE73" s="705"/>
      <c r="EVF73" s="799"/>
      <c r="EVG73" s="800"/>
      <c r="EVH73" s="800"/>
      <c r="EVI73" s="800"/>
      <c r="EVJ73" s="800"/>
      <c r="EVK73" s="800"/>
      <c r="EVL73" s="705"/>
      <c r="EVM73" s="799"/>
      <c r="EVN73" s="800"/>
      <c r="EVO73" s="800"/>
      <c r="EVP73" s="800"/>
      <c r="EVQ73" s="800"/>
      <c r="EVR73" s="800"/>
      <c r="EVS73" s="705"/>
      <c r="EVT73" s="799"/>
      <c r="EVU73" s="800"/>
      <c r="EVV73" s="800"/>
      <c r="EVW73" s="800"/>
      <c r="EVX73" s="800"/>
      <c r="EVY73" s="800"/>
      <c r="EVZ73" s="705"/>
      <c r="EWA73" s="799"/>
      <c r="EWB73" s="800"/>
      <c r="EWC73" s="800"/>
      <c r="EWD73" s="800"/>
      <c r="EWE73" s="800"/>
      <c r="EWF73" s="800"/>
      <c r="EWG73" s="705"/>
      <c r="EWH73" s="799"/>
      <c r="EWI73" s="800"/>
      <c r="EWJ73" s="800"/>
      <c r="EWK73" s="800"/>
      <c r="EWL73" s="800"/>
      <c r="EWM73" s="800"/>
      <c r="EWN73" s="705"/>
      <c r="EWO73" s="799"/>
      <c r="EWP73" s="800"/>
      <c r="EWQ73" s="800"/>
      <c r="EWR73" s="800"/>
      <c r="EWS73" s="800"/>
      <c r="EWT73" s="800"/>
      <c r="EWU73" s="705"/>
      <c r="EWV73" s="799"/>
      <c r="EWW73" s="800"/>
      <c r="EWX73" s="800"/>
      <c r="EWY73" s="800"/>
      <c r="EWZ73" s="800"/>
      <c r="EXA73" s="800"/>
      <c r="EXB73" s="705"/>
      <c r="EXC73" s="799"/>
      <c r="EXD73" s="800"/>
      <c r="EXE73" s="800"/>
      <c r="EXF73" s="800"/>
      <c r="EXG73" s="800"/>
      <c r="EXH73" s="800"/>
      <c r="EXI73" s="705"/>
      <c r="EXJ73" s="799"/>
      <c r="EXK73" s="800"/>
      <c r="EXL73" s="800"/>
      <c r="EXM73" s="800"/>
      <c r="EXN73" s="800"/>
      <c r="EXO73" s="800"/>
      <c r="EXP73" s="705"/>
      <c r="EXQ73" s="799"/>
      <c r="EXR73" s="800"/>
      <c r="EXS73" s="800"/>
      <c r="EXT73" s="800"/>
      <c r="EXU73" s="800"/>
      <c r="EXV73" s="800"/>
      <c r="EXW73" s="705"/>
      <c r="EXX73" s="799"/>
      <c r="EXY73" s="800"/>
      <c r="EXZ73" s="800"/>
      <c r="EYA73" s="800"/>
      <c r="EYB73" s="800"/>
      <c r="EYC73" s="800"/>
      <c r="EYD73" s="705"/>
      <c r="EYE73" s="799"/>
      <c r="EYF73" s="800"/>
      <c r="EYG73" s="800"/>
      <c r="EYH73" s="800"/>
      <c r="EYI73" s="800"/>
      <c r="EYJ73" s="800"/>
      <c r="EYK73" s="705"/>
      <c r="EYL73" s="799"/>
      <c r="EYM73" s="800"/>
      <c r="EYN73" s="800"/>
      <c r="EYO73" s="800"/>
      <c r="EYP73" s="800"/>
      <c r="EYQ73" s="800"/>
      <c r="EYR73" s="705"/>
      <c r="EYS73" s="799"/>
      <c r="EYT73" s="800"/>
      <c r="EYU73" s="800"/>
      <c r="EYV73" s="800"/>
      <c r="EYW73" s="800"/>
      <c r="EYX73" s="800"/>
      <c r="EYY73" s="705"/>
      <c r="EYZ73" s="799"/>
      <c r="EZA73" s="800"/>
      <c r="EZB73" s="800"/>
      <c r="EZC73" s="800"/>
      <c r="EZD73" s="800"/>
      <c r="EZE73" s="800"/>
      <c r="EZF73" s="705"/>
      <c r="EZG73" s="799"/>
      <c r="EZH73" s="800"/>
      <c r="EZI73" s="800"/>
      <c r="EZJ73" s="800"/>
      <c r="EZK73" s="800"/>
      <c r="EZL73" s="800"/>
      <c r="EZM73" s="705"/>
      <c r="EZN73" s="799"/>
      <c r="EZO73" s="800"/>
      <c r="EZP73" s="800"/>
      <c r="EZQ73" s="800"/>
      <c r="EZR73" s="800"/>
      <c r="EZS73" s="800"/>
      <c r="EZT73" s="705"/>
      <c r="EZU73" s="799"/>
      <c r="EZV73" s="800"/>
      <c r="EZW73" s="800"/>
      <c r="EZX73" s="800"/>
      <c r="EZY73" s="800"/>
      <c r="EZZ73" s="800"/>
      <c r="FAA73" s="705"/>
      <c r="FAB73" s="799"/>
      <c r="FAC73" s="800"/>
      <c r="FAD73" s="800"/>
      <c r="FAE73" s="800"/>
      <c r="FAF73" s="800"/>
      <c r="FAG73" s="800"/>
      <c r="FAH73" s="705"/>
      <c r="FAI73" s="799"/>
      <c r="FAJ73" s="800"/>
      <c r="FAK73" s="800"/>
      <c r="FAL73" s="800"/>
      <c r="FAM73" s="800"/>
      <c r="FAN73" s="800"/>
      <c r="FAO73" s="705"/>
      <c r="FAP73" s="799"/>
      <c r="FAQ73" s="800"/>
      <c r="FAR73" s="800"/>
      <c r="FAS73" s="800"/>
      <c r="FAT73" s="800"/>
      <c r="FAU73" s="800"/>
      <c r="FAV73" s="705"/>
      <c r="FAW73" s="799"/>
      <c r="FAX73" s="800"/>
      <c r="FAY73" s="800"/>
      <c r="FAZ73" s="800"/>
      <c r="FBA73" s="800"/>
      <c r="FBB73" s="800"/>
      <c r="FBC73" s="705"/>
      <c r="FBD73" s="799"/>
      <c r="FBE73" s="800"/>
      <c r="FBF73" s="800"/>
      <c r="FBG73" s="800"/>
      <c r="FBH73" s="800"/>
      <c r="FBI73" s="800"/>
      <c r="FBJ73" s="705"/>
      <c r="FBK73" s="799"/>
      <c r="FBL73" s="800"/>
      <c r="FBM73" s="800"/>
      <c r="FBN73" s="800"/>
      <c r="FBO73" s="800"/>
      <c r="FBP73" s="800"/>
      <c r="FBQ73" s="705"/>
      <c r="FBR73" s="799"/>
      <c r="FBS73" s="800"/>
      <c r="FBT73" s="800"/>
      <c r="FBU73" s="800"/>
      <c r="FBV73" s="800"/>
      <c r="FBW73" s="800"/>
      <c r="FBX73" s="705"/>
      <c r="FBY73" s="799"/>
      <c r="FBZ73" s="800"/>
      <c r="FCA73" s="800"/>
      <c r="FCB73" s="800"/>
      <c r="FCC73" s="800"/>
      <c r="FCD73" s="800"/>
      <c r="FCE73" s="705"/>
      <c r="FCF73" s="799"/>
      <c r="FCG73" s="800"/>
      <c r="FCH73" s="800"/>
      <c r="FCI73" s="800"/>
      <c r="FCJ73" s="800"/>
      <c r="FCK73" s="800"/>
      <c r="FCL73" s="705"/>
      <c r="FCM73" s="799"/>
      <c r="FCN73" s="800"/>
      <c r="FCO73" s="800"/>
      <c r="FCP73" s="800"/>
      <c r="FCQ73" s="800"/>
      <c r="FCR73" s="800"/>
      <c r="FCS73" s="705"/>
      <c r="FCT73" s="799"/>
      <c r="FCU73" s="800"/>
      <c r="FCV73" s="800"/>
      <c r="FCW73" s="800"/>
      <c r="FCX73" s="800"/>
      <c r="FCY73" s="800"/>
      <c r="FCZ73" s="705"/>
      <c r="FDA73" s="799"/>
      <c r="FDB73" s="800"/>
      <c r="FDC73" s="800"/>
      <c r="FDD73" s="800"/>
      <c r="FDE73" s="800"/>
      <c r="FDF73" s="800"/>
      <c r="FDG73" s="705"/>
      <c r="FDH73" s="799"/>
      <c r="FDI73" s="800"/>
      <c r="FDJ73" s="800"/>
      <c r="FDK73" s="800"/>
      <c r="FDL73" s="800"/>
      <c r="FDM73" s="800"/>
      <c r="FDN73" s="705"/>
      <c r="FDO73" s="799"/>
      <c r="FDP73" s="800"/>
      <c r="FDQ73" s="800"/>
      <c r="FDR73" s="800"/>
      <c r="FDS73" s="800"/>
      <c r="FDT73" s="800"/>
      <c r="FDU73" s="705"/>
      <c r="FDV73" s="799"/>
      <c r="FDW73" s="800"/>
      <c r="FDX73" s="800"/>
      <c r="FDY73" s="800"/>
      <c r="FDZ73" s="800"/>
      <c r="FEA73" s="800"/>
      <c r="FEB73" s="705"/>
      <c r="FEC73" s="799"/>
      <c r="FED73" s="800"/>
      <c r="FEE73" s="800"/>
      <c r="FEF73" s="800"/>
      <c r="FEG73" s="800"/>
      <c r="FEH73" s="800"/>
      <c r="FEI73" s="705"/>
      <c r="FEJ73" s="799"/>
      <c r="FEK73" s="800"/>
      <c r="FEL73" s="800"/>
      <c r="FEM73" s="800"/>
      <c r="FEN73" s="800"/>
      <c r="FEO73" s="800"/>
      <c r="FEP73" s="705"/>
      <c r="FEQ73" s="799"/>
      <c r="FER73" s="800"/>
      <c r="FES73" s="800"/>
      <c r="FET73" s="800"/>
      <c r="FEU73" s="800"/>
      <c r="FEV73" s="800"/>
      <c r="FEW73" s="705"/>
      <c r="FEX73" s="799"/>
      <c r="FEY73" s="800"/>
      <c r="FEZ73" s="800"/>
      <c r="FFA73" s="800"/>
      <c r="FFB73" s="800"/>
      <c r="FFC73" s="800"/>
      <c r="FFD73" s="705"/>
      <c r="FFE73" s="799"/>
      <c r="FFF73" s="800"/>
      <c r="FFG73" s="800"/>
      <c r="FFH73" s="800"/>
      <c r="FFI73" s="800"/>
      <c r="FFJ73" s="800"/>
      <c r="FFK73" s="705"/>
      <c r="FFL73" s="799"/>
      <c r="FFM73" s="800"/>
      <c r="FFN73" s="800"/>
      <c r="FFO73" s="800"/>
      <c r="FFP73" s="800"/>
      <c r="FFQ73" s="800"/>
      <c r="FFR73" s="705"/>
      <c r="FFS73" s="799"/>
      <c r="FFT73" s="800"/>
      <c r="FFU73" s="800"/>
      <c r="FFV73" s="800"/>
      <c r="FFW73" s="800"/>
      <c r="FFX73" s="800"/>
      <c r="FFY73" s="705"/>
      <c r="FFZ73" s="799"/>
      <c r="FGA73" s="800"/>
      <c r="FGB73" s="800"/>
      <c r="FGC73" s="800"/>
      <c r="FGD73" s="800"/>
      <c r="FGE73" s="800"/>
      <c r="FGF73" s="705"/>
      <c r="FGG73" s="799"/>
      <c r="FGH73" s="800"/>
      <c r="FGI73" s="800"/>
      <c r="FGJ73" s="800"/>
      <c r="FGK73" s="800"/>
      <c r="FGL73" s="800"/>
      <c r="FGM73" s="705"/>
      <c r="FGN73" s="799"/>
      <c r="FGO73" s="800"/>
      <c r="FGP73" s="800"/>
      <c r="FGQ73" s="800"/>
      <c r="FGR73" s="800"/>
      <c r="FGS73" s="800"/>
      <c r="FGT73" s="705"/>
      <c r="FGU73" s="799"/>
      <c r="FGV73" s="800"/>
      <c r="FGW73" s="800"/>
      <c r="FGX73" s="800"/>
      <c r="FGY73" s="800"/>
      <c r="FGZ73" s="800"/>
      <c r="FHA73" s="705"/>
      <c r="FHB73" s="799"/>
      <c r="FHC73" s="800"/>
      <c r="FHD73" s="800"/>
      <c r="FHE73" s="800"/>
      <c r="FHF73" s="800"/>
      <c r="FHG73" s="800"/>
      <c r="FHH73" s="705"/>
      <c r="FHI73" s="799"/>
      <c r="FHJ73" s="800"/>
      <c r="FHK73" s="800"/>
      <c r="FHL73" s="800"/>
      <c r="FHM73" s="800"/>
      <c r="FHN73" s="800"/>
      <c r="FHO73" s="705"/>
      <c r="FHP73" s="799"/>
      <c r="FHQ73" s="800"/>
      <c r="FHR73" s="800"/>
      <c r="FHS73" s="800"/>
      <c r="FHT73" s="800"/>
      <c r="FHU73" s="800"/>
      <c r="FHV73" s="705"/>
      <c r="FHW73" s="799"/>
      <c r="FHX73" s="800"/>
      <c r="FHY73" s="800"/>
      <c r="FHZ73" s="800"/>
      <c r="FIA73" s="800"/>
      <c r="FIB73" s="800"/>
      <c r="FIC73" s="705"/>
      <c r="FID73" s="799"/>
      <c r="FIE73" s="800"/>
      <c r="FIF73" s="800"/>
      <c r="FIG73" s="800"/>
      <c r="FIH73" s="800"/>
      <c r="FII73" s="800"/>
      <c r="FIJ73" s="705"/>
      <c r="FIK73" s="799"/>
      <c r="FIL73" s="800"/>
      <c r="FIM73" s="800"/>
      <c r="FIN73" s="800"/>
      <c r="FIO73" s="800"/>
      <c r="FIP73" s="800"/>
      <c r="FIQ73" s="705"/>
      <c r="FIR73" s="799"/>
      <c r="FIS73" s="800"/>
      <c r="FIT73" s="800"/>
      <c r="FIU73" s="800"/>
      <c r="FIV73" s="800"/>
      <c r="FIW73" s="800"/>
      <c r="FIX73" s="705"/>
      <c r="FIY73" s="799"/>
      <c r="FIZ73" s="800"/>
      <c r="FJA73" s="800"/>
      <c r="FJB73" s="800"/>
      <c r="FJC73" s="800"/>
      <c r="FJD73" s="800"/>
      <c r="FJE73" s="705"/>
      <c r="FJF73" s="799"/>
      <c r="FJG73" s="800"/>
      <c r="FJH73" s="800"/>
      <c r="FJI73" s="800"/>
      <c r="FJJ73" s="800"/>
      <c r="FJK73" s="800"/>
      <c r="FJL73" s="705"/>
      <c r="FJM73" s="799"/>
      <c r="FJN73" s="800"/>
      <c r="FJO73" s="800"/>
      <c r="FJP73" s="800"/>
      <c r="FJQ73" s="800"/>
      <c r="FJR73" s="800"/>
      <c r="FJS73" s="705"/>
      <c r="FJT73" s="799"/>
      <c r="FJU73" s="800"/>
      <c r="FJV73" s="800"/>
      <c r="FJW73" s="800"/>
      <c r="FJX73" s="800"/>
      <c r="FJY73" s="800"/>
      <c r="FJZ73" s="705"/>
      <c r="FKA73" s="799"/>
      <c r="FKB73" s="800"/>
      <c r="FKC73" s="800"/>
      <c r="FKD73" s="800"/>
      <c r="FKE73" s="800"/>
      <c r="FKF73" s="800"/>
      <c r="FKG73" s="705"/>
      <c r="FKH73" s="799"/>
      <c r="FKI73" s="800"/>
      <c r="FKJ73" s="800"/>
      <c r="FKK73" s="800"/>
      <c r="FKL73" s="800"/>
      <c r="FKM73" s="800"/>
      <c r="FKN73" s="705"/>
      <c r="FKO73" s="799"/>
      <c r="FKP73" s="800"/>
      <c r="FKQ73" s="800"/>
      <c r="FKR73" s="800"/>
      <c r="FKS73" s="800"/>
      <c r="FKT73" s="800"/>
      <c r="FKU73" s="705"/>
      <c r="FKV73" s="799"/>
      <c r="FKW73" s="800"/>
      <c r="FKX73" s="800"/>
      <c r="FKY73" s="800"/>
      <c r="FKZ73" s="800"/>
      <c r="FLA73" s="800"/>
      <c r="FLB73" s="705"/>
      <c r="FLC73" s="799"/>
      <c r="FLD73" s="800"/>
      <c r="FLE73" s="800"/>
      <c r="FLF73" s="800"/>
      <c r="FLG73" s="800"/>
      <c r="FLH73" s="800"/>
      <c r="FLI73" s="705"/>
      <c r="FLJ73" s="799"/>
      <c r="FLK73" s="800"/>
      <c r="FLL73" s="800"/>
      <c r="FLM73" s="800"/>
      <c r="FLN73" s="800"/>
      <c r="FLO73" s="800"/>
      <c r="FLP73" s="705"/>
      <c r="FLQ73" s="799"/>
      <c r="FLR73" s="800"/>
      <c r="FLS73" s="800"/>
      <c r="FLT73" s="800"/>
      <c r="FLU73" s="800"/>
      <c r="FLV73" s="800"/>
      <c r="FLW73" s="705"/>
      <c r="FLX73" s="799"/>
      <c r="FLY73" s="800"/>
      <c r="FLZ73" s="800"/>
      <c r="FMA73" s="800"/>
      <c r="FMB73" s="800"/>
      <c r="FMC73" s="800"/>
      <c r="FMD73" s="705"/>
      <c r="FME73" s="799"/>
      <c r="FMF73" s="800"/>
      <c r="FMG73" s="800"/>
      <c r="FMH73" s="800"/>
      <c r="FMI73" s="800"/>
      <c r="FMJ73" s="800"/>
      <c r="FMK73" s="705"/>
      <c r="FML73" s="799"/>
      <c r="FMM73" s="800"/>
      <c r="FMN73" s="800"/>
      <c r="FMO73" s="800"/>
      <c r="FMP73" s="800"/>
      <c r="FMQ73" s="800"/>
      <c r="FMR73" s="705"/>
      <c r="FMS73" s="799"/>
      <c r="FMT73" s="800"/>
      <c r="FMU73" s="800"/>
      <c r="FMV73" s="800"/>
      <c r="FMW73" s="800"/>
      <c r="FMX73" s="800"/>
      <c r="FMY73" s="705"/>
      <c r="FMZ73" s="799"/>
      <c r="FNA73" s="800"/>
      <c r="FNB73" s="800"/>
      <c r="FNC73" s="800"/>
      <c r="FND73" s="800"/>
      <c r="FNE73" s="800"/>
      <c r="FNF73" s="705"/>
      <c r="FNG73" s="799"/>
      <c r="FNH73" s="800"/>
      <c r="FNI73" s="800"/>
      <c r="FNJ73" s="800"/>
      <c r="FNK73" s="800"/>
      <c r="FNL73" s="800"/>
      <c r="FNM73" s="705"/>
      <c r="FNN73" s="799"/>
      <c r="FNO73" s="800"/>
      <c r="FNP73" s="800"/>
      <c r="FNQ73" s="800"/>
      <c r="FNR73" s="800"/>
      <c r="FNS73" s="800"/>
      <c r="FNT73" s="705"/>
      <c r="FNU73" s="799"/>
      <c r="FNV73" s="800"/>
      <c r="FNW73" s="800"/>
      <c r="FNX73" s="800"/>
      <c r="FNY73" s="800"/>
      <c r="FNZ73" s="800"/>
      <c r="FOA73" s="705"/>
      <c r="FOB73" s="799"/>
      <c r="FOC73" s="800"/>
      <c r="FOD73" s="800"/>
      <c r="FOE73" s="800"/>
      <c r="FOF73" s="800"/>
      <c r="FOG73" s="800"/>
      <c r="FOH73" s="705"/>
      <c r="FOI73" s="799"/>
      <c r="FOJ73" s="800"/>
      <c r="FOK73" s="800"/>
      <c r="FOL73" s="800"/>
      <c r="FOM73" s="800"/>
      <c r="FON73" s="800"/>
      <c r="FOO73" s="705"/>
      <c r="FOP73" s="799"/>
      <c r="FOQ73" s="800"/>
      <c r="FOR73" s="800"/>
      <c r="FOS73" s="800"/>
      <c r="FOT73" s="800"/>
      <c r="FOU73" s="800"/>
      <c r="FOV73" s="705"/>
      <c r="FOW73" s="799"/>
      <c r="FOX73" s="800"/>
      <c r="FOY73" s="800"/>
      <c r="FOZ73" s="800"/>
      <c r="FPA73" s="800"/>
      <c r="FPB73" s="800"/>
      <c r="FPC73" s="705"/>
      <c r="FPD73" s="799"/>
      <c r="FPE73" s="800"/>
      <c r="FPF73" s="800"/>
      <c r="FPG73" s="800"/>
      <c r="FPH73" s="800"/>
      <c r="FPI73" s="800"/>
      <c r="FPJ73" s="705"/>
      <c r="FPK73" s="799"/>
      <c r="FPL73" s="800"/>
      <c r="FPM73" s="800"/>
      <c r="FPN73" s="800"/>
      <c r="FPO73" s="800"/>
      <c r="FPP73" s="800"/>
      <c r="FPQ73" s="705"/>
      <c r="FPR73" s="799"/>
      <c r="FPS73" s="800"/>
      <c r="FPT73" s="800"/>
      <c r="FPU73" s="800"/>
      <c r="FPV73" s="800"/>
      <c r="FPW73" s="800"/>
      <c r="FPX73" s="705"/>
      <c r="FPY73" s="799"/>
      <c r="FPZ73" s="800"/>
      <c r="FQA73" s="800"/>
      <c r="FQB73" s="800"/>
      <c r="FQC73" s="800"/>
      <c r="FQD73" s="800"/>
      <c r="FQE73" s="705"/>
      <c r="FQF73" s="799"/>
      <c r="FQG73" s="800"/>
      <c r="FQH73" s="800"/>
      <c r="FQI73" s="800"/>
      <c r="FQJ73" s="800"/>
      <c r="FQK73" s="800"/>
      <c r="FQL73" s="705"/>
      <c r="FQM73" s="799"/>
      <c r="FQN73" s="800"/>
      <c r="FQO73" s="800"/>
      <c r="FQP73" s="800"/>
      <c r="FQQ73" s="800"/>
      <c r="FQR73" s="800"/>
      <c r="FQS73" s="705"/>
      <c r="FQT73" s="799"/>
      <c r="FQU73" s="800"/>
      <c r="FQV73" s="800"/>
      <c r="FQW73" s="800"/>
      <c r="FQX73" s="800"/>
      <c r="FQY73" s="800"/>
      <c r="FQZ73" s="705"/>
      <c r="FRA73" s="799"/>
      <c r="FRB73" s="800"/>
      <c r="FRC73" s="800"/>
      <c r="FRD73" s="800"/>
      <c r="FRE73" s="800"/>
      <c r="FRF73" s="800"/>
      <c r="FRG73" s="705"/>
      <c r="FRH73" s="799"/>
      <c r="FRI73" s="800"/>
      <c r="FRJ73" s="800"/>
      <c r="FRK73" s="800"/>
      <c r="FRL73" s="800"/>
      <c r="FRM73" s="800"/>
      <c r="FRN73" s="705"/>
      <c r="FRO73" s="799"/>
      <c r="FRP73" s="800"/>
      <c r="FRQ73" s="800"/>
      <c r="FRR73" s="800"/>
      <c r="FRS73" s="800"/>
      <c r="FRT73" s="800"/>
      <c r="FRU73" s="705"/>
      <c r="FRV73" s="799"/>
      <c r="FRW73" s="800"/>
      <c r="FRX73" s="800"/>
      <c r="FRY73" s="800"/>
      <c r="FRZ73" s="800"/>
      <c r="FSA73" s="800"/>
      <c r="FSB73" s="705"/>
      <c r="FSC73" s="799"/>
      <c r="FSD73" s="800"/>
      <c r="FSE73" s="800"/>
      <c r="FSF73" s="800"/>
      <c r="FSG73" s="800"/>
      <c r="FSH73" s="800"/>
      <c r="FSI73" s="705"/>
      <c r="FSJ73" s="799"/>
      <c r="FSK73" s="800"/>
      <c r="FSL73" s="800"/>
      <c r="FSM73" s="800"/>
      <c r="FSN73" s="800"/>
      <c r="FSO73" s="800"/>
      <c r="FSP73" s="705"/>
      <c r="FSQ73" s="799"/>
      <c r="FSR73" s="800"/>
      <c r="FSS73" s="800"/>
      <c r="FST73" s="800"/>
      <c r="FSU73" s="800"/>
      <c r="FSV73" s="800"/>
      <c r="FSW73" s="705"/>
      <c r="FSX73" s="799"/>
      <c r="FSY73" s="800"/>
      <c r="FSZ73" s="800"/>
      <c r="FTA73" s="800"/>
      <c r="FTB73" s="800"/>
      <c r="FTC73" s="800"/>
      <c r="FTD73" s="705"/>
      <c r="FTE73" s="799"/>
      <c r="FTF73" s="800"/>
      <c r="FTG73" s="800"/>
      <c r="FTH73" s="800"/>
      <c r="FTI73" s="800"/>
      <c r="FTJ73" s="800"/>
      <c r="FTK73" s="705"/>
      <c r="FTL73" s="799"/>
      <c r="FTM73" s="800"/>
      <c r="FTN73" s="800"/>
      <c r="FTO73" s="800"/>
      <c r="FTP73" s="800"/>
      <c r="FTQ73" s="800"/>
      <c r="FTR73" s="705"/>
      <c r="FTS73" s="799"/>
      <c r="FTT73" s="800"/>
      <c r="FTU73" s="800"/>
      <c r="FTV73" s="800"/>
      <c r="FTW73" s="800"/>
      <c r="FTX73" s="800"/>
      <c r="FTY73" s="705"/>
      <c r="FTZ73" s="799"/>
      <c r="FUA73" s="800"/>
      <c r="FUB73" s="800"/>
      <c r="FUC73" s="800"/>
      <c r="FUD73" s="800"/>
      <c r="FUE73" s="800"/>
      <c r="FUF73" s="705"/>
      <c r="FUG73" s="799"/>
      <c r="FUH73" s="800"/>
      <c r="FUI73" s="800"/>
      <c r="FUJ73" s="800"/>
      <c r="FUK73" s="800"/>
      <c r="FUL73" s="800"/>
      <c r="FUM73" s="705"/>
      <c r="FUN73" s="799"/>
      <c r="FUO73" s="800"/>
      <c r="FUP73" s="800"/>
      <c r="FUQ73" s="800"/>
      <c r="FUR73" s="800"/>
      <c r="FUS73" s="800"/>
      <c r="FUT73" s="705"/>
      <c r="FUU73" s="799"/>
      <c r="FUV73" s="800"/>
      <c r="FUW73" s="800"/>
      <c r="FUX73" s="800"/>
      <c r="FUY73" s="800"/>
      <c r="FUZ73" s="800"/>
      <c r="FVA73" s="705"/>
      <c r="FVB73" s="799"/>
      <c r="FVC73" s="800"/>
      <c r="FVD73" s="800"/>
      <c r="FVE73" s="800"/>
      <c r="FVF73" s="800"/>
      <c r="FVG73" s="800"/>
      <c r="FVH73" s="705"/>
      <c r="FVI73" s="799"/>
      <c r="FVJ73" s="800"/>
      <c r="FVK73" s="800"/>
      <c r="FVL73" s="800"/>
      <c r="FVM73" s="800"/>
      <c r="FVN73" s="800"/>
      <c r="FVO73" s="705"/>
      <c r="FVP73" s="799"/>
      <c r="FVQ73" s="800"/>
      <c r="FVR73" s="800"/>
      <c r="FVS73" s="800"/>
      <c r="FVT73" s="800"/>
      <c r="FVU73" s="800"/>
      <c r="FVV73" s="705"/>
      <c r="FVW73" s="799"/>
      <c r="FVX73" s="800"/>
      <c r="FVY73" s="800"/>
      <c r="FVZ73" s="800"/>
      <c r="FWA73" s="800"/>
      <c r="FWB73" s="800"/>
      <c r="FWC73" s="705"/>
      <c r="FWD73" s="799"/>
      <c r="FWE73" s="800"/>
      <c r="FWF73" s="800"/>
      <c r="FWG73" s="800"/>
      <c r="FWH73" s="800"/>
      <c r="FWI73" s="800"/>
      <c r="FWJ73" s="705"/>
      <c r="FWK73" s="799"/>
      <c r="FWL73" s="800"/>
      <c r="FWM73" s="800"/>
      <c r="FWN73" s="800"/>
      <c r="FWO73" s="800"/>
      <c r="FWP73" s="800"/>
      <c r="FWQ73" s="705"/>
      <c r="FWR73" s="799"/>
      <c r="FWS73" s="800"/>
      <c r="FWT73" s="800"/>
      <c r="FWU73" s="800"/>
      <c r="FWV73" s="800"/>
      <c r="FWW73" s="800"/>
      <c r="FWX73" s="705"/>
      <c r="FWY73" s="799"/>
      <c r="FWZ73" s="800"/>
      <c r="FXA73" s="800"/>
      <c r="FXB73" s="800"/>
      <c r="FXC73" s="800"/>
      <c r="FXD73" s="800"/>
      <c r="FXE73" s="705"/>
      <c r="FXF73" s="799"/>
      <c r="FXG73" s="800"/>
      <c r="FXH73" s="800"/>
      <c r="FXI73" s="800"/>
      <c r="FXJ73" s="800"/>
      <c r="FXK73" s="800"/>
      <c r="FXL73" s="705"/>
      <c r="FXM73" s="799"/>
      <c r="FXN73" s="800"/>
      <c r="FXO73" s="800"/>
      <c r="FXP73" s="800"/>
      <c r="FXQ73" s="800"/>
      <c r="FXR73" s="800"/>
      <c r="FXS73" s="705"/>
      <c r="FXT73" s="799"/>
      <c r="FXU73" s="800"/>
      <c r="FXV73" s="800"/>
      <c r="FXW73" s="800"/>
      <c r="FXX73" s="800"/>
      <c r="FXY73" s="800"/>
      <c r="FXZ73" s="705"/>
      <c r="FYA73" s="799"/>
      <c r="FYB73" s="800"/>
      <c r="FYC73" s="800"/>
      <c r="FYD73" s="800"/>
      <c r="FYE73" s="800"/>
      <c r="FYF73" s="800"/>
      <c r="FYG73" s="705"/>
      <c r="FYH73" s="799"/>
      <c r="FYI73" s="800"/>
      <c r="FYJ73" s="800"/>
      <c r="FYK73" s="800"/>
      <c r="FYL73" s="800"/>
      <c r="FYM73" s="800"/>
      <c r="FYN73" s="705"/>
      <c r="FYO73" s="799"/>
      <c r="FYP73" s="800"/>
      <c r="FYQ73" s="800"/>
      <c r="FYR73" s="800"/>
      <c r="FYS73" s="800"/>
      <c r="FYT73" s="800"/>
      <c r="FYU73" s="705"/>
      <c r="FYV73" s="799"/>
      <c r="FYW73" s="800"/>
      <c r="FYX73" s="800"/>
      <c r="FYY73" s="800"/>
      <c r="FYZ73" s="800"/>
      <c r="FZA73" s="800"/>
      <c r="FZB73" s="705"/>
      <c r="FZC73" s="799"/>
      <c r="FZD73" s="800"/>
      <c r="FZE73" s="800"/>
      <c r="FZF73" s="800"/>
      <c r="FZG73" s="800"/>
      <c r="FZH73" s="800"/>
      <c r="FZI73" s="705"/>
      <c r="FZJ73" s="799"/>
      <c r="FZK73" s="800"/>
      <c r="FZL73" s="800"/>
      <c r="FZM73" s="800"/>
      <c r="FZN73" s="800"/>
      <c r="FZO73" s="800"/>
      <c r="FZP73" s="705"/>
      <c r="FZQ73" s="799"/>
      <c r="FZR73" s="800"/>
      <c r="FZS73" s="800"/>
      <c r="FZT73" s="800"/>
      <c r="FZU73" s="800"/>
      <c r="FZV73" s="800"/>
      <c r="FZW73" s="705"/>
      <c r="FZX73" s="799"/>
      <c r="FZY73" s="800"/>
      <c r="FZZ73" s="800"/>
      <c r="GAA73" s="800"/>
      <c r="GAB73" s="800"/>
      <c r="GAC73" s="800"/>
      <c r="GAD73" s="705"/>
      <c r="GAE73" s="799"/>
      <c r="GAF73" s="800"/>
      <c r="GAG73" s="800"/>
      <c r="GAH73" s="800"/>
      <c r="GAI73" s="800"/>
      <c r="GAJ73" s="800"/>
      <c r="GAK73" s="705"/>
      <c r="GAL73" s="799"/>
      <c r="GAM73" s="800"/>
      <c r="GAN73" s="800"/>
      <c r="GAO73" s="800"/>
      <c r="GAP73" s="800"/>
      <c r="GAQ73" s="800"/>
      <c r="GAR73" s="705"/>
      <c r="GAS73" s="799"/>
      <c r="GAT73" s="800"/>
      <c r="GAU73" s="800"/>
      <c r="GAV73" s="800"/>
      <c r="GAW73" s="800"/>
      <c r="GAX73" s="800"/>
      <c r="GAY73" s="705"/>
      <c r="GAZ73" s="799"/>
      <c r="GBA73" s="800"/>
      <c r="GBB73" s="800"/>
      <c r="GBC73" s="800"/>
      <c r="GBD73" s="800"/>
      <c r="GBE73" s="800"/>
      <c r="GBF73" s="705"/>
      <c r="GBG73" s="799"/>
      <c r="GBH73" s="800"/>
      <c r="GBI73" s="800"/>
      <c r="GBJ73" s="800"/>
      <c r="GBK73" s="800"/>
      <c r="GBL73" s="800"/>
      <c r="GBM73" s="705"/>
      <c r="GBN73" s="799"/>
      <c r="GBO73" s="800"/>
      <c r="GBP73" s="800"/>
      <c r="GBQ73" s="800"/>
      <c r="GBR73" s="800"/>
      <c r="GBS73" s="800"/>
      <c r="GBT73" s="705"/>
      <c r="GBU73" s="799"/>
      <c r="GBV73" s="800"/>
      <c r="GBW73" s="800"/>
      <c r="GBX73" s="800"/>
      <c r="GBY73" s="800"/>
      <c r="GBZ73" s="800"/>
      <c r="GCA73" s="705"/>
      <c r="GCB73" s="799"/>
      <c r="GCC73" s="800"/>
      <c r="GCD73" s="800"/>
      <c r="GCE73" s="800"/>
      <c r="GCF73" s="800"/>
      <c r="GCG73" s="800"/>
      <c r="GCH73" s="705"/>
      <c r="GCI73" s="799"/>
      <c r="GCJ73" s="800"/>
      <c r="GCK73" s="800"/>
      <c r="GCL73" s="800"/>
      <c r="GCM73" s="800"/>
      <c r="GCN73" s="800"/>
      <c r="GCO73" s="705"/>
      <c r="GCP73" s="799"/>
      <c r="GCQ73" s="800"/>
      <c r="GCR73" s="800"/>
      <c r="GCS73" s="800"/>
      <c r="GCT73" s="800"/>
      <c r="GCU73" s="800"/>
      <c r="GCV73" s="705"/>
      <c r="GCW73" s="799"/>
      <c r="GCX73" s="800"/>
      <c r="GCY73" s="800"/>
      <c r="GCZ73" s="800"/>
      <c r="GDA73" s="800"/>
      <c r="GDB73" s="800"/>
      <c r="GDC73" s="705"/>
      <c r="GDD73" s="799"/>
      <c r="GDE73" s="800"/>
      <c r="GDF73" s="800"/>
      <c r="GDG73" s="800"/>
      <c r="GDH73" s="800"/>
      <c r="GDI73" s="800"/>
      <c r="GDJ73" s="705"/>
      <c r="GDK73" s="799"/>
      <c r="GDL73" s="800"/>
      <c r="GDM73" s="800"/>
      <c r="GDN73" s="800"/>
      <c r="GDO73" s="800"/>
      <c r="GDP73" s="800"/>
      <c r="GDQ73" s="705"/>
      <c r="GDR73" s="799"/>
      <c r="GDS73" s="800"/>
      <c r="GDT73" s="800"/>
      <c r="GDU73" s="800"/>
      <c r="GDV73" s="800"/>
      <c r="GDW73" s="800"/>
      <c r="GDX73" s="705"/>
      <c r="GDY73" s="799"/>
      <c r="GDZ73" s="800"/>
      <c r="GEA73" s="800"/>
      <c r="GEB73" s="800"/>
      <c r="GEC73" s="800"/>
      <c r="GED73" s="800"/>
      <c r="GEE73" s="705"/>
      <c r="GEF73" s="799"/>
      <c r="GEG73" s="800"/>
      <c r="GEH73" s="800"/>
      <c r="GEI73" s="800"/>
      <c r="GEJ73" s="800"/>
      <c r="GEK73" s="800"/>
      <c r="GEL73" s="705"/>
      <c r="GEM73" s="799"/>
      <c r="GEN73" s="800"/>
      <c r="GEO73" s="800"/>
      <c r="GEP73" s="800"/>
      <c r="GEQ73" s="800"/>
      <c r="GER73" s="800"/>
      <c r="GES73" s="705"/>
      <c r="GET73" s="799"/>
      <c r="GEU73" s="800"/>
      <c r="GEV73" s="800"/>
      <c r="GEW73" s="800"/>
      <c r="GEX73" s="800"/>
      <c r="GEY73" s="800"/>
      <c r="GEZ73" s="705"/>
      <c r="GFA73" s="799"/>
      <c r="GFB73" s="800"/>
      <c r="GFC73" s="800"/>
      <c r="GFD73" s="800"/>
      <c r="GFE73" s="800"/>
      <c r="GFF73" s="800"/>
      <c r="GFG73" s="705"/>
      <c r="GFH73" s="799"/>
      <c r="GFI73" s="800"/>
      <c r="GFJ73" s="800"/>
      <c r="GFK73" s="800"/>
      <c r="GFL73" s="800"/>
      <c r="GFM73" s="800"/>
      <c r="GFN73" s="705"/>
      <c r="GFO73" s="799"/>
      <c r="GFP73" s="800"/>
      <c r="GFQ73" s="800"/>
      <c r="GFR73" s="800"/>
      <c r="GFS73" s="800"/>
      <c r="GFT73" s="800"/>
      <c r="GFU73" s="705"/>
      <c r="GFV73" s="799"/>
      <c r="GFW73" s="800"/>
      <c r="GFX73" s="800"/>
      <c r="GFY73" s="800"/>
      <c r="GFZ73" s="800"/>
      <c r="GGA73" s="800"/>
      <c r="GGB73" s="705"/>
      <c r="GGC73" s="799"/>
      <c r="GGD73" s="800"/>
      <c r="GGE73" s="800"/>
      <c r="GGF73" s="800"/>
      <c r="GGG73" s="800"/>
      <c r="GGH73" s="800"/>
      <c r="GGI73" s="705"/>
      <c r="GGJ73" s="799"/>
      <c r="GGK73" s="800"/>
      <c r="GGL73" s="800"/>
      <c r="GGM73" s="800"/>
      <c r="GGN73" s="800"/>
      <c r="GGO73" s="800"/>
      <c r="GGP73" s="705"/>
      <c r="GGQ73" s="799"/>
      <c r="GGR73" s="800"/>
      <c r="GGS73" s="800"/>
      <c r="GGT73" s="800"/>
      <c r="GGU73" s="800"/>
      <c r="GGV73" s="800"/>
      <c r="GGW73" s="705"/>
      <c r="GGX73" s="799"/>
      <c r="GGY73" s="800"/>
      <c r="GGZ73" s="800"/>
      <c r="GHA73" s="800"/>
      <c r="GHB73" s="800"/>
      <c r="GHC73" s="800"/>
      <c r="GHD73" s="705"/>
      <c r="GHE73" s="799"/>
      <c r="GHF73" s="800"/>
      <c r="GHG73" s="800"/>
      <c r="GHH73" s="800"/>
      <c r="GHI73" s="800"/>
      <c r="GHJ73" s="800"/>
      <c r="GHK73" s="705"/>
      <c r="GHL73" s="799"/>
      <c r="GHM73" s="800"/>
      <c r="GHN73" s="800"/>
      <c r="GHO73" s="800"/>
      <c r="GHP73" s="800"/>
      <c r="GHQ73" s="800"/>
      <c r="GHR73" s="705"/>
      <c r="GHS73" s="799"/>
      <c r="GHT73" s="800"/>
      <c r="GHU73" s="800"/>
      <c r="GHV73" s="800"/>
      <c r="GHW73" s="800"/>
      <c r="GHX73" s="800"/>
      <c r="GHY73" s="705"/>
      <c r="GHZ73" s="799"/>
      <c r="GIA73" s="800"/>
      <c r="GIB73" s="800"/>
      <c r="GIC73" s="800"/>
      <c r="GID73" s="800"/>
      <c r="GIE73" s="800"/>
      <c r="GIF73" s="705"/>
      <c r="GIG73" s="799"/>
      <c r="GIH73" s="800"/>
      <c r="GII73" s="800"/>
      <c r="GIJ73" s="800"/>
      <c r="GIK73" s="800"/>
      <c r="GIL73" s="800"/>
      <c r="GIM73" s="705"/>
      <c r="GIN73" s="799"/>
      <c r="GIO73" s="800"/>
      <c r="GIP73" s="800"/>
      <c r="GIQ73" s="800"/>
      <c r="GIR73" s="800"/>
      <c r="GIS73" s="800"/>
      <c r="GIT73" s="705"/>
      <c r="GIU73" s="799"/>
      <c r="GIV73" s="800"/>
      <c r="GIW73" s="800"/>
      <c r="GIX73" s="800"/>
      <c r="GIY73" s="800"/>
      <c r="GIZ73" s="800"/>
      <c r="GJA73" s="705"/>
      <c r="GJB73" s="799"/>
      <c r="GJC73" s="800"/>
      <c r="GJD73" s="800"/>
      <c r="GJE73" s="800"/>
      <c r="GJF73" s="800"/>
      <c r="GJG73" s="800"/>
      <c r="GJH73" s="705"/>
      <c r="GJI73" s="799"/>
      <c r="GJJ73" s="800"/>
      <c r="GJK73" s="800"/>
      <c r="GJL73" s="800"/>
      <c r="GJM73" s="800"/>
      <c r="GJN73" s="800"/>
      <c r="GJO73" s="705"/>
      <c r="GJP73" s="799"/>
      <c r="GJQ73" s="800"/>
      <c r="GJR73" s="800"/>
      <c r="GJS73" s="800"/>
      <c r="GJT73" s="800"/>
      <c r="GJU73" s="800"/>
      <c r="GJV73" s="705"/>
      <c r="GJW73" s="799"/>
      <c r="GJX73" s="800"/>
      <c r="GJY73" s="800"/>
      <c r="GJZ73" s="800"/>
      <c r="GKA73" s="800"/>
      <c r="GKB73" s="800"/>
      <c r="GKC73" s="705"/>
      <c r="GKD73" s="799"/>
      <c r="GKE73" s="800"/>
      <c r="GKF73" s="800"/>
      <c r="GKG73" s="800"/>
      <c r="GKH73" s="800"/>
      <c r="GKI73" s="800"/>
      <c r="GKJ73" s="705"/>
      <c r="GKK73" s="799"/>
      <c r="GKL73" s="800"/>
      <c r="GKM73" s="800"/>
      <c r="GKN73" s="800"/>
      <c r="GKO73" s="800"/>
      <c r="GKP73" s="800"/>
      <c r="GKQ73" s="705"/>
      <c r="GKR73" s="799"/>
      <c r="GKS73" s="800"/>
      <c r="GKT73" s="800"/>
      <c r="GKU73" s="800"/>
      <c r="GKV73" s="800"/>
      <c r="GKW73" s="800"/>
      <c r="GKX73" s="705"/>
      <c r="GKY73" s="799"/>
      <c r="GKZ73" s="800"/>
      <c r="GLA73" s="800"/>
      <c r="GLB73" s="800"/>
      <c r="GLC73" s="800"/>
      <c r="GLD73" s="800"/>
      <c r="GLE73" s="705"/>
      <c r="GLF73" s="799"/>
      <c r="GLG73" s="800"/>
      <c r="GLH73" s="800"/>
      <c r="GLI73" s="800"/>
      <c r="GLJ73" s="800"/>
      <c r="GLK73" s="800"/>
      <c r="GLL73" s="705"/>
      <c r="GLM73" s="799"/>
      <c r="GLN73" s="800"/>
      <c r="GLO73" s="800"/>
      <c r="GLP73" s="800"/>
      <c r="GLQ73" s="800"/>
      <c r="GLR73" s="800"/>
      <c r="GLS73" s="705"/>
      <c r="GLT73" s="799"/>
      <c r="GLU73" s="800"/>
      <c r="GLV73" s="800"/>
      <c r="GLW73" s="800"/>
      <c r="GLX73" s="800"/>
      <c r="GLY73" s="800"/>
      <c r="GLZ73" s="705"/>
      <c r="GMA73" s="799"/>
      <c r="GMB73" s="800"/>
      <c r="GMC73" s="800"/>
      <c r="GMD73" s="800"/>
      <c r="GME73" s="800"/>
      <c r="GMF73" s="800"/>
      <c r="GMG73" s="705"/>
      <c r="GMH73" s="799"/>
      <c r="GMI73" s="800"/>
      <c r="GMJ73" s="800"/>
      <c r="GMK73" s="800"/>
      <c r="GML73" s="800"/>
      <c r="GMM73" s="800"/>
      <c r="GMN73" s="705"/>
      <c r="GMO73" s="799"/>
      <c r="GMP73" s="800"/>
      <c r="GMQ73" s="800"/>
      <c r="GMR73" s="800"/>
      <c r="GMS73" s="800"/>
      <c r="GMT73" s="800"/>
      <c r="GMU73" s="705"/>
      <c r="GMV73" s="799"/>
      <c r="GMW73" s="800"/>
      <c r="GMX73" s="800"/>
      <c r="GMY73" s="800"/>
      <c r="GMZ73" s="800"/>
      <c r="GNA73" s="800"/>
      <c r="GNB73" s="705"/>
      <c r="GNC73" s="799"/>
      <c r="GND73" s="800"/>
      <c r="GNE73" s="800"/>
      <c r="GNF73" s="800"/>
      <c r="GNG73" s="800"/>
      <c r="GNH73" s="800"/>
      <c r="GNI73" s="705"/>
      <c r="GNJ73" s="799"/>
      <c r="GNK73" s="800"/>
      <c r="GNL73" s="800"/>
      <c r="GNM73" s="800"/>
      <c r="GNN73" s="800"/>
      <c r="GNO73" s="800"/>
      <c r="GNP73" s="705"/>
      <c r="GNQ73" s="799"/>
      <c r="GNR73" s="800"/>
      <c r="GNS73" s="800"/>
      <c r="GNT73" s="800"/>
      <c r="GNU73" s="800"/>
      <c r="GNV73" s="800"/>
      <c r="GNW73" s="705"/>
      <c r="GNX73" s="799"/>
      <c r="GNY73" s="800"/>
      <c r="GNZ73" s="800"/>
      <c r="GOA73" s="800"/>
      <c r="GOB73" s="800"/>
      <c r="GOC73" s="800"/>
      <c r="GOD73" s="705"/>
      <c r="GOE73" s="799"/>
      <c r="GOF73" s="800"/>
      <c r="GOG73" s="800"/>
      <c r="GOH73" s="800"/>
      <c r="GOI73" s="800"/>
      <c r="GOJ73" s="800"/>
      <c r="GOK73" s="705"/>
      <c r="GOL73" s="799"/>
      <c r="GOM73" s="800"/>
      <c r="GON73" s="800"/>
      <c r="GOO73" s="800"/>
      <c r="GOP73" s="800"/>
      <c r="GOQ73" s="800"/>
      <c r="GOR73" s="705"/>
      <c r="GOS73" s="799"/>
      <c r="GOT73" s="800"/>
      <c r="GOU73" s="800"/>
      <c r="GOV73" s="800"/>
      <c r="GOW73" s="800"/>
      <c r="GOX73" s="800"/>
      <c r="GOY73" s="705"/>
      <c r="GOZ73" s="799"/>
      <c r="GPA73" s="800"/>
      <c r="GPB73" s="800"/>
      <c r="GPC73" s="800"/>
      <c r="GPD73" s="800"/>
      <c r="GPE73" s="800"/>
      <c r="GPF73" s="705"/>
      <c r="GPG73" s="799"/>
      <c r="GPH73" s="800"/>
      <c r="GPI73" s="800"/>
      <c r="GPJ73" s="800"/>
      <c r="GPK73" s="800"/>
      <c r="GPL73" s="800"/>
      <c r="GPM73" s="705"/>
      <c r="GPN73" s="799"/>
      <c r="GPO73" s="800"/>
      <c r="GPP73" s="800"/>
      <c r="GPQ73" s="800"/>
      <c r="GPR73" s="800"/>
      <c r="GPS73" s="800"/>
      <c r="GPT73" s="705"/>
      <c r="GPU73" s="799"/>
      <c r="GPV73" s="800"/>
      <c r="GPW73" s="800"/>
      <c r="GPX73" s="800"/>
      <c r="GPY73" s="800"/>
      <c r="GPZ73" s="800"/>
      <c r="GQA73" s="705"/>
      <c r="GQB73" s="799"/>
      <c r="GQC73" s="800"/>
      <c r="GQD73" s="800"/>
      <c r="GQE73" s="800"/>
      <c r="GQF73" s="800"/>
      <c r="GQG73" s="800"/>
      <c r="GQH73" s="705"/>
      <c r="GQI73" s="799"/>
      <c r="GQJ73" s="800"/>
      <c r="GQK73" s="800"/>
      <c r="GQL73" s="800"/>
      <c r="GQM73" s="800"/>
      <c r="GQN73" s="800"/>
      <c r="GQO73" s="705"/>
      <c r="GQP73" s="799"/>
      <c r="GQQ73" s="800"/>
      <c r="GQR73" s="800"/>
      <c r="GQS73" s="800"/>
      <c r="GQT73" s="800"/>
      <c r="GQU73" s="800"/>
      <c r="GQV73" s="705"/>
      <c r="GQW73" s="799"/>
      <c r="GQX73" s="800"/>
      <c r="GQY73" s="800"/>
      <c r="GQZ73" s="800"/>
      <c r="GRA73" s="800"/>
      <c r="GRB73" s="800"/>
      <c r="GRC73" s="705"/>
      <c r="GRD73" s="799"/>
      <c r="GRE73" s="800"/>
      <c r="GRF73" s="800"/>
      <c r="GRG73" s="800"/>
      <c r="GRH73" s="800"/>
      <c r="GRI73" s="800"/>
      <c r="GRJ73" s="705"/>
      <c r="GRK73" s="799"/>
      <c r="GRL73" s="800"/>
      <c r="GRM73" s="800"/>
      <c r="GRN73" s="800"/>
      <c r="GRO73" s="800"/>
      <c r="GRP73" s="800"/>
      <c r="GRQ73" s="705"/>
      <c r="GRR73" s="799"/>
      <c r="GRS73" s="800"/>
      <c r="GRT73" s="800"/>
      <c r="GRU73" s="800"/>
      <c r="GRV73" s="800"/>
      <c r="GRW73" s="800"/>
      <c r="GRX73" s="705"/>
      <c r="GRY73" s="799"/>
      <c r="GRZ73" s="800"/>
      <c r="GSA73" s="800"/>
      <c r="GSB73" s="800"/>
      <c r="GSC73" s="800"/>
      <c r="GSD73" s="800"/>
      <c r="GSE73" s="705"/>
      <c r="GSF73" s="799"/>
      <c r="GSG73" s="800"/>
      <c r="GSH73" s="800"/>
      <c r="GSI73" s="800"/>
      <c r="GSJ73" s="800"/>
      <c r="GSK73" s="800"/>
      <c r="GSL73" s="705"/>
      <c r="GSM73" s="799"/>
      <c r="GSN73" s="800"/>
      <c r="GSO73" s="800"/>
      <c r="GSP73" s="800"/>
      <c r="GSQ73" s="800"/>
      <c r="GSR73" s="800"/>
      <c r="GSS73" s="705"/>
      <c r="GST73" s="799"/>
      <c r="GSU73" s="800"/>
      <c r="GSV73" s="800"/>
      <c r="GSW73" s="800"/>
      <c r="GSX73" s="800"/>
      <c r="GSY73" s="800"/>
      <c r="GSZ73" s="705"/>
      <c r="GTA73" s="799"/>
      <c r="GTB73" s="800"/>
      <c r="GTC73" s="800"/>
      <c r="GTD73" s="800"/>
      <c r="GTE73" s="800"/>
      <c r="GTF73" s="800"/>
      <c r="GTG73" s="705"/>
      <c r="GTH73" s="799"/>
      <c r="GTI73" s="800"/>
      <c r="GTJ73" s="800"/>
      <c r="GTK73" s="800"/>
      <c r="GTL73" s="800"/>
      <c r="GTM73" s="800"/>
      <c r="GTN73" s="705"/>
      <c r="GTO73" s="799"/>
      <c r="GTP73" s="800"/>
      <c r="GTQ73" s="800"/>
      <c r="GTR73" s="800"/>
      <c r="GTS73" s="800"/>
      <c r="GTT73" s="800"/>
      <c r="GTU73" s="705"/>
      <c r="GTV73" s="799"/>
      <c r="GTW73" s="800"/>
      <c r="GTX73" s="800"/>
      <c r="GTY73" s="800"/>
      <c r="GTZ73" s="800"/>
      <c r="GUA73" s="800"/>
      <c r="GUB73" s="705"/>
      <c r="GUC73" s="799"/>
      <c r="GUD73" s="800"/>
      <c r="GUE73" s="800"/>
      <c r="GUF73" s="800"/>
      <c r="GUG73" s="800"/>
      <c r="GUH73" s="800"/>
      <c r="GUI73" s="705"/>
      <c r="GUJ73" s="799"/>
      <c r="GUK73" s="800"/>
      <c r="GUL73" s="800"/>
      <c r="GUM73" s="800"/>
      <c r="GUN73" s="800"/>
      <c r="GUO73" s="800"/>
      <c r="GUP73" s="705"/>
      <c r="GUQ73" s="799"/>
      <c r="GUR73" s="800"/>
      <c r="GUS73" s="800"/>
      <c r="GUT73" s="800"/>
      <c r="GUU73" s="800"/>
      <c r="GUV73" s="800"/>
      <c r="GUW73" s="705"/>
      <c r="GUX73" s="799"/>
      <c r="GUY73" s="800"/>
      <c r="GUZ73" s="800"/>
      <c r="GVA73" s="800"/>
      <c r="GVB73" s="800"/>
      <c r="GVC73" s="800"/>
      <c r="GVD73" s="705"/>
      <c r="GVE73" s="799"/>
      <c r="GVF73" s="800"/>
      <c r="GVG73" s="800"/>
      <c r="GVH73" s="800"/>
      <c r="GVI73" s="800"/>
      <c r="GVJ73" s="800"/>
      <c r="GVK73" s="705"/>
      <c r="GVL73" s="799"/>
      <c r="GVM73" s="800"/>
      <c r="GVN73" s="800"/>
      <c r="GVO73" s="800"/>
      <c r="GVP73" s="800"/>
      <c r="GVQ73" s="800"/>
      <c r="GVR73" s="705"/>
      <c r="GVS73" s="799"/>
      <c r="GVT73" s="800"/>
      <c r="GVU73" s="800"/>
      <c r="GVV73" s="800"/>
      <c r="GVW73" s="800"/>
      <c r="GVX73" s="800"/>
      <c r="GVY73" s="705"/>
      <c r="GVZ73" s="799"/>
      <c r="GWA73" s="800"/>
      <c r="GWB73" s="800"/>
      <c r="GWC73" s="800"/>
      <c r="GWD73" s="800"/>
      <c r="GWE73" s="800"/>
      <c r="GWF73" s="705"/>
      <c r="GWG73" s="799"/>
      <c r="GWH73" s="800"/>
      <c r="GWI73" s="800"/>
      <c r="GWJ73" s="800"/>
      <c r="GWK73" s="800"/>
      <c r="GWL73" s="800"/>
      <c r="GWM73" s="705"/>
      <c r="GWN73" s="799"/>
      <c r="GWO73" s="800"/>
      <c r="GWP73" s="800"/>
      <c r="GWQ73" s="800"/>
      <c r="GWR73" s="800"/>
      <c r="GWS73" s="800"/>
      <c r="GWT73" s="705"/>
      <c r="GWU73" s="799"/>
      <c r="GWV73" s="800"/>
      <c r="GWW73" s="800"/>
      <c r="GWX73" s="800"/>
      <c r="GWY73" s="800"/>
      <c r="GWZ73" s="800"/>
      <c r="GXA73" s="705"/>
      <c r="GXB73" s="799"/>
      <c r="GXC73" s="800"/>
      <c r="GXD73" s="800"/>
      <c r="GXE73" s="800"/>
      <c r="GXF73" s="800"/>
      <c r="GXG73" s="800"/>
      <c r="GXH73" s="705"/>
      <c r="GXI73" s="799"/>
      <c r="GXJ73" s="800"/>
      <c r="GXK73" s="800"/>
      <c r="GXL73" s="800"/>
      <c r="GXM73" s="800"/>
      <c r="GXN73" s="800"/>
      <c r="GXO73" s="705"/>
      <c r="GXP73" s="799"/>
      <c r="GXQ73" s="800"/>
      <c r="GXR73" s="800"/>
      <c r="GXS73" s="800"/>
      <c r="GXT73" s="800"/>
      <c r="GXU73" s="800"/>
      <c r="GXV73" s="705"/>
      <c r="GXW73" s="799"/>
      <c r="GXX73" s="800"/>
      <c r="GXY73" s="800"/>
      <c r="GXZ73" s="800"/>
      <c r="GYA73" s="800"/>
      <c r="GYB73" s="800"/>
      <c r="GYC73" s="705"/>
      <c r="GYD73" s="799"/>
      <c r="GYE73" s="800"/>
      <c r="GYF73" s="800"/>
      <c r="GYG73" s="800"/>
      <c r="GYH73" s="800"/>
      <c r="GYI73" s="800"/>
      <c r="GYJ73" s="705"/>
      <c r="GYK73" s="799"/>
      <c r="GYL73" s="800"/>
      <c r="GYM73" s="800"/>
      <c r="GYN73" s="800"/>
      <c r="GYO73" s="800"/>
      <c r="GYP73" s="800"/>
      <c r="GYQ73" s="705"/>
      <c r="GYR73" s="799"/>
      <c r="GYS73" s="800"/>
      <c r="GYT73" s="800"/>
      <c r="GYU73" s="800"/>
      <c r="GYV73" s="800"/>
      <c r="GYW73" s="800"/>
      <c r="GYX73" s="705"/>
      <c r="GYY73" s="799"/>
      <c r="GYZ73" s="800"/>
      <c r="GZA73" s="800"/>
      <c r="GZB73" s="800"/>
      <c r="GZC73" s="800"/>
      <c r="GZD73" s="800"/>
      <c r="GZE73" s="705"/>
      <c r="GZF73" s="799"/>
      <c r="GZG73" s="800"/>
      <c r="GZH73" s="800"/>
      <c r="GZI73" s="800"/>
      <c r="GZJ73" s="800"/>
      <c r="GZK73" s="800"/>
      <c r="GZL73" s="705"/>
      <c r="GZM73" s="799"/>
      <c r="GZN73" s="800"/>
      <c r="GZO73" s="800"/>
      <c r="GZP73" s="800"/>
      <c r="GZQ73" s="800"/>
      <c r="GZR73" s="800"/>
      <c r="GZS73" s="705"/>
      <c r="GZT73" s="799"/>
      <c r="GZU73" s="800"/>
      <c r="GZV73" s="800"/>
      <c r="GZW73" s="800"/>
      <c r="GZX73" s="800"/>
      <c r="GZY73" s="800"/>
      <c r="GZZ73" s="705"/>
      <c r="HAA73" s="799"/>
      <c r="HAB73" s="800"/>
      <c r="HAC73" s="800"/>
      <c r="HAD73" s="800"/>
      <c r="HAE73" s="800"/>
      <c r="HAF73" s="800"/>
      <c r="HAG73" s="705"/>
      <c r="HAH73" s="799"/>
      <c r="HAI73" s="800"/>
      <c r="HAJ73" s="800"/>
      <c r="HAK73" s="800"/>
      <c r="HAL73" s="800"/>
      <c r="HAM73" s="800"/>
      <c r="HAN73" s="705"/>
      <c r="HAO73" s="799"/>
      <c r="HAP73" s="800"/>
      <c r="HAQ73" s="800"/>
      <c r="HAR73" s="800"/>
      <c r="HAS73" s="800"/>
      <c r="HAT73" s="800"/>
      <c r="HAU73" s="705"/>
      <c r="HAV73" s="799"/>
      <c r="HAW73" s="800"/>
      <c r="HAX73" s="800"/>
      <c r="HAY73" s="800"/>
      <c r="HAZ73" s="800"/>
      <c r="HBA73" s="800"/>
      <c r="HBB73" s="705"/>
      <c r="HBC73" s="799"/>
      <c r="HBD73" s="800"/>
      <c r="HBE73" s="800"/>
      <c r="HBF73" s="800"/>
      <c r="HBG73" s="800"/>
      <c r="HBH73" s="800"/>
      <c r="HBI73" s="705"/>
      <c r="HBJ73" s="799"/>
      <c r="HBK73" s="800"/>
      <c r="HBL73" s="800"/>
      <c r="HBM73" s="800"/>
      <c r="HBN73" s="800"/>
      <c r="HBO73" s="800"/>
      <c r="HBP73" s="705"/>
      <c r="HBQ73" s="799"/>
      <c r="HBR73" s="800"/>
      <c r="HBS73" s="800"/>
      <c r="HBT73" s="800"/>
      <c r="HBU73" s="800"/>
      <c r="HBV73" s="800"/>
      <c r="HBW73" s="705"/>
      <c r="HBX73" s="799"/>
      <c r="HBY73" s="800"/>
      <c r="HBZ73" s="800"/>
      <c r="HCA73" s="800"/>
      <c r="HCB73" s="800"/>
      <c r="HCC73" s="800"/>
      <c r="HCD73" s="705"/>
      <c r="HCE73" s="799"/>
      <c r="HCF73" s="800"/>
      <c r="HCG73" s="800"/>
      <c r="HCH73" s="800"/>
      <c r="HCI73" s="800"/>
      <c r="HCJ73" s="800"/>
      <c r="HCK73" s="705"/>
      <c r="HCL73" s="799"/>
      <c r="HCM73" s="800"/>
      <c r="HCN73" s="800"/>
      <c r="HCO73" s="800"/>
      <c r="HCP73" s="800"/>
      <c r="HCQ73" s="800"/>
      <c r="HCR73" s="705"/>
      <c r="HCS73" s="799"/>
      <c r="HCT73" s="800"/>
      <c r="HCU73" s="800"/>
      <c r="HCV73" s="800"/>
      <c r="HCW73" s="800"/>
      <c r="HCX73" s="800"/>
      <c r="HCY73" s="705"/>
      <c r="HCZ73" s="799"/>
      <c r="HDA73" s="800"/>
      <c r="HDB73" s="800"/>
      <c r="HDC73" s="800"/>
      <c r="HDD73" s="800"/>
      <c r="HDE73" s="800"/>
      <c r="HDF73" s="705"/>
      <c r="HDG73" s="799"/>
      <c r="HDH73" s="800"/>
      <c r="HDI73" s="800"/>
      <c r="HDJ73" s="800"/>
      <c r="HDK73" s="800"/>
      <c r="HDL73" s="800"/>
      <c r="HDM73" s="705"/>
      <c r="HDN73" s="799"/>
      <c r="HDO73" s="800"/>
      <c r="HDP73" s="800"/>
      <c r="HDQ73" s="800"/>
      <c r="HDR73" s="800"/>
      <c r="HDS73" s="800"/>
      <c r="HDT73" s="705"/>
      <c r="HDU73" s="799"/>
      <c r="HDV73" s="800"/>
      <c r="HDW73" s="800"/>
      <c r="HDX73" s="800"/>
      <c r="HDY73" s="800"/>
      <c r="HDZ73" s="800"/>
      <c r="HEA73" s="705"/>
      <c r="HEB73" s="799"/>
      <c r="HEC73" s="800"/>
      <c r="HED73" s="800"/>
      <c r="HEE73" s="800"/>
      <c r="HEF73" s="800"/>
      <c r="HEG73" s="800"/>
      <c r="HEH73" s="705"/>
      <c r="HEI73" s="799"/>
      <c r="HEJ73" s="800"/>
      <c r="HEK73" s="800"/>
      <c r="HEL73" s="800"/>
      <c r="HEM73" s="800"/>
      <c r="HEN73" s="800"/>
      <c r="HEO73" s="705"/>
      <c r="HEP73" s="799"/>
      <c r="HEQ73" s="800"/>
      <c r="HER73" s="800"/>
      <c r="HES73" s="800"/>
      <c r="HET73" s="800"/>
      <c r="HEU73" s="800"/>
      <c r="HEV73" s="705"/>
      <c r="HEW73" s="799"/>
      <c r="HEX73" s="800"/>
      <c r="HEY73" s="800"/>
      <c r="HEZ73" s="800"/>
      <c r="HFA73" s="800"/>
      <c r="HFB73" s="800"/>
      <c r="HFC73" s="705"/>
      <c r="HFD73" s="799"/>
      <c r="HFE73" s="800"/>
      <c r="HFF73" s="800"/>
      <c r="HFG73" s="800"/>
      <c r="HFH73" s="800"/>
      <c r="HFI73" s="800"/>
      <c r="HFJ73" s="705"/>
      <c r="HFK73" s="799"/>
      <c r="HFL73" s="800"/>
      <c r="HFM73" s="800"/>
      <c r="HFN73" s="800"/>
      <c r="HFO73" s="800"/>
      <c r="HFP73" s="800"/>
      <c r="HFQ73" s="705"/>
      <c r="HFR73" s="799"/>
      <c r="HFS73" s="800"/>
      <c r="HFT73" s="800"/>
      <c r="HFU73" s="800"/>
      <c r="HFV73" s="800"/>
      <c r="HFW73" s="800"/>
      <c r="HFX73" s="705"/>
      <c r="HFY73" s="799"/>
      <c r="HFZ73" s="800"/>
      <c r="HGA73" s="800"/>
      <c r="HGB73" s="800"/>
      <c r="HGC73" s="800"/>
      <c r="HGD73" s="800"/>
      <c r="HGE73" s="705"/>
      <c r="HGF73" s="799"/>
      <c r="HGG73" s="800"/>
      <c r="HGH73" s="800"/>
      <c r="HGI73" s="800"/>
      <c r="HGJ73" s="800"/>
      <c r="HGK73" s="800"/>
      <c r="HGL73" s="705"/>
      <c r="HGM73" s="799"/>
      <c r="HGN73" s="800"/>
      <c r="HGO73" s="800"/>
      <c r="HGP73" s="800"/>
      <c r="HGQ73" s="800"/>
      <c r="HGR73" s="800"/>
      <c r="HGS73" s="705"/>
      <c r="HGT73" s="799"/>
      <c r="HGU73" s="800"/>
      <c r="HGV73" s="800"/>
      <c r="HGW73" s="800"/>
      <c r="HGX73" s="800"/>
      <c r="HGY73" s="800"/>
      <c r="HGZ73" s="705"/>
      <c r="HHA73" s="799"/>
      <c r="HHB73" s="800"/>
      <c r="HHC73" s="800"/>
      <c r="HHD73" s="800"/>
      <c r="HHE73" s="800"/>
      <c r="HHF73" s="800"/>
      <c r="HHG73" s="705"/>
      <c r="HHH73" s="799"/>
      <c r="HHI73" s="800"/>
      <c r="HHJ73" s="800"/>
      <c r="HHK73" s="800"/>
      <c r="HHL73" s="800"/>
      <c r="HHM73" s="800"/>
      <c r="HHN73" s="705"/>
      <c r="HHO73" s="799"/>
      <c r="HHP73" s="800"/>
      <c r="HHQ73" s="800"/>
      <c r="HHR73" s="800"/>
      <c r="HHS73" s="800"/>
      <c r="HHT73" s="800"/>
      <c r="HHU73" s="705"/>
      <c r="HHV73" s="799"/>
      <c r="HHW73" s="800"/>
      <c r="HHX73" s="800"/>
      <c r="HHY73" s="800"/>
      <c r="HHZ73" s="800"/>
      <c r="HIA73" s="800"/>
      <c r="HIB73" s="705"/>
      <c r="HIC73" s="799"/>
      <c r="HID73" s="800"/>
      <c r="HIE73" s="800"/>
      <c r="HIF73" s="800"/>
      <c r="HIG73" s="800"/>
      <c r="HIH73" s="800"/>
      <c r="HII73" s="705"/>
      <c r="HIJ73" s="799"/>
      <c r="HIK73" s="800"/>
      <c r="HIL73" s="800"/>
      <c r="HIM73" s="800"/>
      <c r="HIN73" s="800"/>
      <c r="HIO73" s="800"/>
      <c r="HIP73" s="705"/>
      <c r="HIQ73" s="799"/>
      <c r="HIR73" s="800"/>
      <c r="HIS73" s="800"/>
      <c r="HIT73" s="800"/>
      <c r="HIU73" s="800"/>
      <c r="HIV73" s="800"/>
      <c r="HIW73" s="705"/>
      <c r="HIX73" s="799"/>
      <c r="HIY73" s="800"/>
      <c r="HIZ73" s="800"/>
      <c r="HJA73" s="800"/>
      <c r="HJB73" s="800"/>
      <c r="HJC73" s="800"/>
      <c r="HJD73" s="705"/>
      <c r="HJE73" s="799"/>
      <c r="HJF73" s="800"/>
      <c r="HJG73" s="800"/>
      <c r="HJH73" s="800"/>
      <c r="HJI73" s="800"/>
      <c r="HJJ73" s="800"/>
      <c r="HJK73" s="705"/>
      <c r="HJL73" s="799"/>
      <c r="HJM73" s="800"/>
      <c r="HJN73" s="800"/>
      <c r="HJO73" s="800"/>
      <c r="HJP73" s="800"/>
      <c r="HJQ73" s="800"/>
      <c r="HJR73" s="705"/>
      <c r="HJS73" s="799"/>
      <c r="HJT73" s="800"/>
      <c r="HJU73" s="800"/>
      <c r="HJV73" s="800"/>
      <c r="HJW73" s="800"/>
      <c r="HJX73" s="800"/>
      <c r="HJY73" s="705"/>
      <c r="HJZ73" s="799"/>
      <c r="HKA73" s="800"/>
      <c r="HKB73" s="800"/>
      <c r="HKC73" s="800"/>
      <c r="HKD73" s="800"/>
      <c r="HKE73" s="800"/>
      <c r="HKF73" s="705"/>
      <c r="HKG73" s="799"/>
      <c r="HKH73" s="800"/>
      <c r="HKI73" s="800"/>
      <c r="HKJ73" s="800"/>
      <c r="HKK73" s="800"/>
      <c r="HKL73" s="800"/>
      <c r="HKM73" s="705"/>
      <c r="HKN73" s="799"/>
      <c r="HKO73" s="800"/>
      <c r="HKP73" s="800"/>
      <c r="HKQ73" s="800"/>
      <c r="HKR73" s="800"/>
      <c r="HKS73" s="800"/>
      <c r="HKT73" s="705"/>
      <c r="HKU73" s="799"/>
      <c r="HKV73" s="800"/>
      <c r="HKW73" s="800"/>
      <c r="HKX73" s="800"/>
      <c r="HKY73" s="800"/>
      <c r="HKZ73" s="800"/>
      <c r="HLA73" s="705"/>
      <c r="HLB73" s="799"/>
      <c r="HLC73" s="800"/>
      <c r="HLD73" s="800"/>
      <c r="HLE73" s="800"/>
      <c r="HLF73" s="800"/>
      <c r="HLG73" s="800"/>
      <c r="HLH73" s="705"/>
      <c r="HLI73" s="799"/>
      <c r="HLJ73" s="800"/>
      <c r="HLK73" s="800"/>
      <c r="HLL73" s="800"/>
      <c r="HLM73" s="800"/>
      <c r="HLN73" s="800"/>
      <c r="HLO73" s="705"/>
      <c r="HLP73" s="799"/>
      <c r="HLQ73" s="800"/>
      <c r="HLR73" s="800"/>
      <c r="HLS73" s="800"/>
      <c r="HLT73" s="800"/>
      <c r="HLU73" s="800"/>
      <c r="HLV73" s="705"/>
      <c r="HLW73" s="799"/>
      <c r="HLX73" s="800"/>
      <c r="HLY73" s="800"/>
      <c r="HLZ73" s="800"/>
      <c r="HMA73" s="800"/>
      <c r="HMB73" s="800"/>
      <c r="HMC73" s="705"/>
      <c r="HMD73" s="799"/>
      <c r="HME73" s="800"/>
      <c r="HMF73" s="800"/>
      <c r="HMG73" s="800"/>
      <c r="HMH73" s="800"/>
      <c r="HMI73" s="800"/>
      <c r="HMJ73" s="705"/>
      <c r="HMK73" s="799"/>
      <c r="HML73" s="800"/>
      <c r="HMM73" s="800"/>
      <c r="HMN73" s="800"/>
      <c r="HMO73" s="800"/>
      <c r="HMP73" s="800"/>
      <c r="HMQ73" s="705"/>
      <c r="HMR73" s="799"/>
      <c r="HMS73" s="800"/>
      <c r="HMT73" s="800"/>
      <c r="HMU73" s="800"/>
      <c r="HMV73" s="800"/>
      <c r="HMW73" s="800"/>
      <c r="HMX73" s="705"/>
      <c r="HMY73" s="799"/>
      <c r="HMZ73" s="800"/>
      <c r="HNA73" s="800"/>
      <c r="HNB73" s="800"/>
      <c r="HNC73" s="800"/>
      <c r="HND73" s="800"/>
      <c r="HNE73" s="705"/>
      <c r="HNF73" s="799"/>
      <c r="HNG73" s="800"/>
      <c r="HNH73" s="800"/>
      <c r="HNI73" s="800"/>
      <c r="HNJ73" s="800"/>
      <c r="HNK73" s="800"/>
      <c r="HNL73" s="705"/>
      <c r="HNM73" s="799"/>
      <c r="HNN73" s="800"/>
      <c r="HNO73" s="800"/>
      <c r="HNP73" s="800"/>
      <c r="HNQ73" s="800"/>
      <c r="HNR73" s="800"/>
      <c r="HNS73" s="705"/>
      <c r="HNT73" s="799"/>
      <c r="HNU73" s="800"/>
      <c r="HNV73" s="800"/>
      <c r="HNW73" s="800"/>
      <c r="HNX73" s="800"/>
      <c r="HNY73" s="800"/>
      <c r="HNZ73" s="705"/>
      <c r="HOA73" s="799"/>
      <c r="HOB73" s="800"/>
      <c r="HOC73" s="800"/>
      <c r="HOD73" s="800"/>
      <c r="HOE73" s="800"/>
      <c r="HOF73" s="800"/>
      <c r="HOG73" s="705"/>
      <c r="HOH73" s="799"/>
      <c r="HOI73" s="800"/>
      <c r="HOJ73" s="800"/>
      <c r="HOK73" s="800"/>
      <c r="HOL73" s="800"/>
      <c r="HOM73" s="800"/>
      <c r="HON73" s="705"/>
      <c r="HOO73" s="799"/>
      <c r="HOP73" s="800"/>
      <c r="HOQ73" s="800"/>
      <c r="HOR73" s="800"/>
      <c r="HOS73" s="800"/>
      <c r="HOT73" s="800"/>
      <c r="HOU73" s="705"/>
      <c r="HOV73" s="799"/>
      <c r="HOW73" s="800"/>
      <c r="HOX73" s="800"/>
      <c r="HOY73" s="800"/>
      <c r="HOZ73" s="800"/>
      <c r="HPA73" s="800"/>
      <c r="HPB73" s="705"/>
      <c r="HPC73" s="799"/>
      <c r="HPD73" s="800"/>
      <c r="HPE73" s="800"/>
      <c r="HPF73" s="800"/>
      <c r="HPG73" s="800"/>
      <c r="HPH73" s="800"/>
      <c r="HPI73" s="705"/>
      <c r="HPJ73" s="799"/>
      <c r="HPK73" s="800"/>
      <c r="HPL73" s="800"/>
      <c r="HPM73" s="800"/>
      <c r="HPN73" s="800"/>
      <c r="HPO73" s="800"/>
      <c r="HPP73" s="705"/>
      <c r="HPQ73" s="799"/>
      <c r="HPR73" s="800"/>
      <c r="HPS73" s="800"/>
      <c r="HPT73" s="800"/>
      <c r="HPU73" s="800"/>
      <c r="HPV73" s="800"/>
      <c r="HPW73" s="705"/>
      <c r="HPX73" s="799"/>
      <c r="HPY73" s="800"/>
      <c r="HPZ73" s="800"/>
      <c r="HQA73" s="800"/>
      <c r="HQB73" s="800"/>
      <c r="HQC73" s="800"/>
      <c r="HQD73" s="705"/>
      <c r="HQE73" s="799"/>
      <c r="HQF73" s="800"/>
      <c r="HQG73" s="800"/>
      <c r="HQH73" s="800"/>
      <c r="HQI73" s="800"/>
      <c r="HQJ73" s="800"/>
      <c r="HQK73" s="705"/>
      <c r="HQL73" s="799"/>
      <c r="HQM73" s="800"/>
      <c r="HQN73" s="800"/>
      <c r="HQO73" s="800"/>
      <c r="HQP73" s="800"/>
      <c r="HQQ73" s="800"/>
      <c r="HQR73" s="705"/>
      <c r="HQS73" s="799"/>
      <c r="HQT73" s="800"/>
      <c r="HQU73" s="800"/>
      <c r="HQV73" s="800"/>
      <c r="HQW73" s="800"/>
      <c r="HQX73" s="800"/>
      <c r="HQY73" s="705"/>
      <c r="HQZ73" s="799"/>
      <c r="HRA73" s="800"/>
      <c r="HRB73" s="800"/>
      <c r="HRC73" s="800"/>
      <c r="HRD73" s="800"/>
      <c r="HRE73" s="800"/>
      <c r="HRF73" s="705"/>
      <c r="HRG73" s="799"/>
      <c r="HRH73" s="800"/>
      <c r="HRI73" s="800"/>
      <c r="HRJ73" s="800"/>
      <c r="HRK73" s="800"/>
      <c r="HRL73" s="800"/>
      <c r="HRM73" s="705"/>
      <c r="HRN73" s="799"/>
      <c r="HRO73" s="800"/>
      <c r="HRP73" s="800"/>
      <c r="HRQ73" s="800"/>
      <c r="HRR73" s="800"/>
      <c r="HRS73" s="800"/>
      <c r="HRT73" s="705"/>
      <c r="HRU73" s="799"/>
      <c r="HRV73" s="800"/>
      <c r="HRW73" s="800"/>
      <c r="HRX73" s="800"/>
      <c r="HRY73" s="800"/>
      <c r="HRZ73" s="800"/>
      <c r="HSA73" s="705"/>
      <c r="HSB73" s="799"/>
      <c r="HSC73" s="800"/>
      <c r="HSD73" s="800"/>
      <c r="HSE73" s="800"/>
      <c r="HSF73" s="800"/>
      <c r="HSG73" s="800"/>
      <c r="HSH73" s="705"/>
      <c r="HSI73" s="799"/>
      <c r="HSJ73" s="800"/>
      <c r="HSK73" s="800"/>
      <c r="HSL73" s="800"/>
      <c r="HSM73" s="800"/>
      <c r="HSN73" s="800"/>
      <c r="HSO73" s="705"/>
      <c r="HSP73" s="799"/>
      <c r="HSQ73" s="800"/>
      <c r="HSR73" s="800"/>
      <c r="HSS73" s="800"/>
      <c r="HST73" s="800"/>
      <c r="HSU73" s="800"/>
      <c r="HSV73" s="705"/>
      <c r="HSW73" s="799"/>
      <c r="HSX73" s="800"/>
      <c r="HSY73" s="800"/>
      <c r="HSZ73" s="800"/>
      <c r="HTA73" s="800"/>
      <c r="HTB73" s="800"/>
      <c r="HTC73" s="705"/>
      <c r="HTD73" s="799"/>
      <c r="HTE73" s="800"/>
      <c r="HTF73" s="800"/>
      <c r="HTG73" s="800"/>
      <c r="HTH73" s="800"/>
      <c r="HTI73" s="800"/>
      <c r="HTJ73" s="705"/>
      <c r="HTK73" s="799"/>
      <c r="HTL73" s="800"/>
      <c r="HTM73" s="800"/>
      <c r="HTN73" s="800"/>
      <c r="HTO73" s="800"/>
      <c r="HTP73" s="800"/>
      <c r="HTQ73" s="705"/>
      <c r="HTR73" s="799"/>
      <c r="HTS73" s="800"/>
      <c r="HTT73" s="800"/>
      <c r="HTU73" s="800"/>
      <c r="HTV73" s="800"/>
      <c r="HTW73" s="800"/>
      <c r="HTX73" s="705"/>
      <c r="HTY73" s="799"/>
      <c r="HTZ73" s="800"/>
      <c r="HUA73" s="800"/>
      <c r="HUB73" s="800"/>
      <c r="HUC73" s="800"/>
      <c r="HUD73" s="800"/>
      <c r="HUE73" s="705"/>
      <c r="HUF73" s="799"/>
      <c r="HUG73" s="800"/>
      <c r="HUH73" s="800"/>
      <c r="HUI73" s="800"/>
      <c r="HUJ73" s="800"/>
      <c r="HUK73" s="800"/>
      <c r="HUL73" s="705"/>
      <c r="HUM73" s="799"/>
      <c r="HUN73" s="800"/>
      <c r="HUO73" s="800"/>
      <c r="HUP73" s="800"/>
      <c r="HUQ73" s="800"/>
      <c r="HUR73" s="800"/>
      <c r="HUS73" s="705"/>
      <c r="HUT73" s="799"/>
      <c r="HUU73" s="800"/>
      <c r="HUV73" s="800"/>
      <c r="HUW73" s="800"/>
      <c r="HUX73" s="800"/>
      <c r="HUY73" s="800"/>
      <c r="HUZ73" s="705"/>
      <c r="HVA73" s="799"/>
      <c r="HVB73" s="800"/>
      <c r="HVC73" s="800"/>
      <c r="HVD73" s="800"/>
      <c r="HVE73" s="800"/>
      <c r="HVF73" s="800"/>
      <c r="HVG73" s="705"/>
      <c r="HVH73" s="799"/>
      <c r="HVI73" s="800"/>
      <c r="HVJ73" s="800"/>
      <c r="HVK73" s="800"/>
      <c r="HVL73" s="800"/>
      <c r="HVM73" s="800"/>
      <c r="HVN73" s="705"/>
      <c r="HVO73" s="799"/>
      <c r="HVP73" s="800"/>
      <c r="HVQ73" s="800"/>
      <c r="HVR73" s="800"/>
      <c r="HVS73" s="800"/>
      <c r="HVT73" s="800"/>
      <c r="HVU73" s="705"/>
      <c r="HVV73" s="799"/>
      <c r="HVW73" s="800"/>
      <c r="HVX73" s="800"/>
      <c r="HVY73" s="800"/>
      <c r="HVZ73" s="800"/>
      <c r="HWA73" s="800"/>
      <c r="HWB73" s="705"/>
      <c r="HWC73" s="799"/>
      <c r="HWD73" s="800"/>
      <c r="HWE73" s="800"/>
      <c r="HWF73" s="800"/>
      <c r="HWG73" s="800"/>
      <c r="HWH73" s="800"/>
      <c r="HWI73" s="705"/>
      <c r="HWJ73" s="799"/>
      <c r="HWK73" s="800"/>
      <c r="HWL73" s="800"/>
      <c r="HWM73" s="800"/>
      <c r="HWN73" s="800"/>
      <c r="HWO73" s="800"/>
      <c r="HWP73" s="705"/>
      <c r="HWQ73" s="799"/>
      <c r="HWR73" s="800"/>
      <c r="HWS73" s="800"/>
      <c r="HWT73" s="800"/>
      <c r="HWU73" s="800"/>
      <c r="HWV73" s="800"/>
      <c r="HWW73" s="705"/>
      <c r="HWX73" s="799"/>
      <c r="HWY73" s="800"/>
      <c r="HWZ73" s="800"/>
      <c r="HXA73" s="800"/>
      <c r="HXB73" s="800"/>
      <c r="HXC73" s="800"/>
      <c r="HXD73" s="705"/>
      <c r="HXE73" s="799"/>
      <c r="HXF73" s="800"/>
      <c r="HXG73" s="800"/>
      <c r="HXH73" s="800"/>
      <c r="HXI73" s="800"/>
      <c r="HXJ73" s="800"/>
      <c r="HXK73" s="705"/>
      <c r="HXL73" s="799"/>
      <c r="HXM73" s="800"/>
      <c r="HXN73" s="800"/>
      <c r="HXO73" s="800"/>
      <c r="HXP73" s="800"/>
      <c r="HXQ73" s="800"/>
      <c r="HXR73" s="705"/>
      <c r="HXS73" s="799"/>
      <c r="HXT73" s="800"/>
      <c r="HXU73" s="800"/>
      <c r="HXV73" s="800"/>
      <c r="HXW73" s="800"/>
      <c r="HXX73" s="800"/>
      <c r="HXY73" s="705"/>
      <c r="HXZ73" s="799"/>
      <c r="HYA73" s="800"/>
      <c r="HYB73" s="800"/>
      <c r="HYC73" s="800"/>
      <c r="HYD73" s="800"/>
      <c r="HYE73" s="800"/>
      <c r="HYF73" s="705"/>
      <c r="HYG73" s="799"/>
      <c r="HYH73" s="800"/>
      <c r="HYI73" s="800"/>
      <c r="HYJ73" s="800"/>
      <c r="HYK73" s="800"/>
      <c r="HYL73" s="800"/>
      <c r="HYM73" s="705"/>
      <c r="HYN73" s="799"/>
      <c r="HYO73" s="800"/>
      <c r="HYP73" s="800"/>
      <c r="HYQ73" s="800"/>
      <c r="HYR73" s="800"/>
      <c r="HYS73" s="800"/>
      <c r="HYT73" s="705"/>
      <c r="HYU73" s="799"/>
      <c r="HYV73" s="800"/>
      <c r="HYW73" s="800"/>
      <c r="HYX73" s="800"/>
      <c r="HYY73" s="800"/>
      <c r="HYZ73" s="800"/>
      <c r="HZA73" s="705"/>
      <c r="HZB73" s="799"/>
      <c r="HZC73" s="800"/>
      <c r="HZD73" s="800"/>
      <c r="HZE73" s="800"/>
      <c r="HZF73" s="800"/>
      <c r="HZG73" s="800"/>
      <c r="HZH73" s="705"/>
      <c r="HZI73" s="799"/>
      <c r="HZJ73" s="800"/>
      <c r="HZK73" s="800"/>
      <c r="HZL73" s="800"/>
      <c r="HZM73" s="800"/>
      <c r="HZN73" s="800"/>
      <c r="HZO73" s="705"/>
      <c r="HZP73" s="799"/>
      <c r="HZQ73" s="800"/>
      <c r="HZR73" s="800"/>
      <c r="HZS73" s="800"/>
      <c r="HZT73" s="800"/>
      <c r="HZU73" s="800"/>
      <c r="HZV73" s="705"/>
      <c r="HZW73" s="799"/>
      <c r="HZX73" s="800"/>
      <c r="HZY73" s="800"/>
      <c r="HZZ73" s="800"/>
      <c r="IAA73" s="800"/>
      <c r="IAB73" s="800"/>
      <c r="IAC73" s="705"/>
      <c r="IAD73" s="799"/>
      <c r="IAE73" s="800"/>
      <c r="IAF73" s="800"/>
      <c r="IAG73" s="800"/>
      <c r="IAH73" s="800"/>
      <c r="IAI73" s="800"/>
      <c r="IAJ73" s="705"/>
      <c r="IAK73" s="799"/>
      <c r="IAL73" s="800"/>
      <c r="IAM73" s="800"/>
      <c r="IAN73" s="800"/>
      <c r="IAO73" s="800"/>
      <c r="IAP73" s="800"/>
      <c r="IAQ73" s="705"/>
      <c r="IAR73" s="799"/>
      <c r="IAS73" s="800"/>
      <c r="IAT73" s="800"/>
      <c r="IAU73" s="800"/>
      <c r="IAV73" s="800"/>
      <c r="IAW73" s="800"/>
      <c r="IAX73" s="705"/>
      <c r="IAY73" s="799"/>
      <c r="IAZ73" s="800"/>
      <c r="IBA73" s="800"/>
      <c r="IBB73" s="800"/>
      <c r="IBC73" s="800"/>
      <c r="IBD73" s="800"/>
      <c r="IBE73" s="705"/>
      <c r="IBF73" s="799"/>
      <c r="IBG73" s="800"/>
      <c r="IBH73" s="800"/>
      <c r="IBI73" s="800"/>
      <c r="IBJ73" s="800"/>
      <c r="IBK73" s="800"/>
      <c r="IBL73" s="705"/>
      <c r="IBM73" s="799"/>
      <c r="IBN73" s="800"/>
      <c r="IBO73" s="800"/>
      <c r="IBP73" s="800"/>
      <c r="IBQ73" s="800"/>
      <c r="IBR73" s="800"/>
      <c r="IBS73" s="705"/>
      <c r="IBT73" s="799"/>
      <c r="IBU73" s="800"/>
      <c r="IBV73" s="800"/>
      <c r="IBW73" s="800"/>
      <c r="IBX73" s="800"/>
      <c r="IBY73" s="800"/>
      <c r="IBZ73" s="705"/>
      <c r="ICA73" s="799"/>
      <c r="ICB73" s="800"/>
      <c r="ICC73" s="800"/>
      <c r="ICD73" s="800"/>
      <c r="ICE73" s="800"/>
      <c r="ICF73" s="800"/>
      <c r="ICG73" s="705"/>
      <c r="ICH73" s="799"/>
      <c r="ICI73" s="800"/>
      <c r="ICJ73" s="800"/>
      <c r="ICK73" s="800"/>
      <c r="ICL73" s="800"/>
      <c r="ICM73" s="800"/>
      <c r="ICN73" s="705"/>
      <c r="ICO73" s="799"/>
      <c r="ICP73" s="800"/>
      <c r="ICQ73" s="800"/>
      <c r="ICR73" s="800"/>
      <c r="ICS73" s="800"/>
      <c r="ICT73" s="800"/>
      <c r="ICU73" s="705"/>
      <c r="ICV73" s="799"/>
      <c r="ICW73" s="800"/>
      <c r="ICX73" s="800"/>
      <c r="ICY73" s="800"/>
      <c r="ICZ73" s="800"/>
      <c r="IDA73" s="800"/>
      <c r="IDB73" s="705"/>
      <c r="IDC73" s="799"/>
      <c r="IDD73" s="800"/>
      <c r="IDE73" s="800"/>
      <c r="IDF73" s="800"/>
      <c r="IDG73" s="800"/>
      <c r="IDH73" s="800"/>
      <c r="IDI73" s="705"/>
      <c r="IDJ73" s="799"/>
      <c r="IDK73" s="800"/>
      <c r="IDL73" s="800"/>
      <c r="IDM73" s="800"/>
      <c r="IDN73" s="800"/>
      <c r="IDO73" s="800"/>
      <c r="IDP73" s="705"/>
      <c r="IDQ73" s="799"/>
      <c r="IDR73" s="800"/>
      <c r="IDS73" s="800"/>
      <c r="IDT73" s="800"/>
      <c r="IDU73" s="800"/>
      <c r="IDV73" s="800"/>
      <c r="IDW73" s="705"/>
      <c r="IDX73" s="799"/>
      <c r="IDY73" s="800"/>
      <c r="IDZ73" s="800"/>
      <c r="IEA73" s="800"/>
      <c r="IEB73" s="800"/>
      <c r="IEC73" s="800"/>
      <c r="IED73" s="705"/>
      <c r="IEE73" s="799"/>
      <c r="IEF73" s="800"/>
      <c r="IEG73" s="800"/>
      <c r="IEH73" s="800"/>
      <c r="IEI73" s="800"/>
      <c r="IEJ73" s="800"/>
      <c r="IEK73" s="705"/>
      <c r="IEL73" s="799"/>
      <c r="IEM73" s="800"/>
      <c r="IEN73" s="800"/>
      <c r="IEO73" s="800"/>
      <c r="IEP73" s="800"/>
      <c r="IEQ73" s="800"/>
      <c r="IER73" s="705"/>
      <c r="IES73" s="799"/>
      <c r="IET73" s="800"/>
      <c r="IEU73" s="800"/>
      <c r="IEV73" s="800"/>
      <c r="IEW73" s="800"/>
      <c r="IEX73" s="800"/>
      <c r="IEY73" s="705"/>
      <c r="IEZ73" s="799"/>
      <c r="IFA73" s="800"/>
      <c r="IFB73" s="800"/>
      <c r="IFC73" s="800"/>
      <c r="IFD73" s="800"/>
      <c r="IFE73" s="800"/>
      <c r="IFF73" s="705"/>
      <c r="IFG73" s="799"/>
      <c r="IFH73" s="800"/>
      <c r="IFI73" s="800"/>
      <c r="IFJ73" s="800"/>
      <c r="IFK73" s="800"/>
      <c r="IFL73" s="800"/>
      <c r="IFM73" s="705"/>
      <c r="IFN73" s="799"/>
      <c r="IFO73" s="800"/>
      <c r="IFP73" s="800"/>
      <c r="IFQ73" s="800"/>
      <c r="IFR73" s="800"/>
      <c r="IFS73" s="800"/>
      <c r="IFT73" s="705"/>
      <c r="IFU73" s="799"/>
      <c r="IFV73" s="800"/>
      <c r="IFW73" s="800"/>
      <c r="IFX73" s="800"/>
      <c r="IFY73" s="800"/>
      <c r="IFZ73" s="800"/>
      <c r="IGA73" s="705"/>
      <c r="IGB73" s="799"/>
      <c r="IGC73" s="800"/>
      <c r="IGD73" s="800"/>
      <c r="IGE73" s="800"/>
      <c r="IGF73" s="800"/>
      <c r="IGG73" s="800"/>
      <c r="IGH73" s="705"/>
      <c r="IGI73" s="799"/>
      <c r="IGJ73" s="800"/>
      <c r="IGK73" s="800"/>
      <c r="IGL73" s="800"/>
      <c r="IGM73" s="800"/>
      <c r="IGN73" s="800"/>
      <c r="IGO73" s="705"/>
      <c r="IGP73" s="799"/>
      <c r="IGQ73" s="800"/>
      <c r="IGR73" s="800"/>
      <c r="IGS73" s="800"/>
      <c r="IGT73" s="800"/>
      <c r="IGU73" s="800"/>
      <c r="IGV73" s="705"/>
      <c r="IGW73" s="799"/>
      <c r="IGX73" s="800"/>
      <c r="IGY73" s="800"/>
      <c r="IGZ73" s="800"/>
      <c r="IHA73" s="800"/>
      <c r="IHB73" s="800"/>
      <c r="IHC73" s="705"/>
      <c r="IHD73" s="799"/>
      <c r="IHE73" s="800"/>
      <c r="IHF73" s="800"/>
      <c r="IHG73" s="800"/>
      <c r="IHH73" s="800"/>
      <c r="IHI73" s="800"/>
      <c r="IHJ73" s="705"/>
      <c r="IHK73" s="799"/>
      <c r="IHL73" s="800"/>
      <c r="IHM73" s="800"/>
      <c r="IHN73" s="800"/>
      <c r="IHO73" s="800"/>
      <c r="IHP73" s="800"/>
      <c r="IHQ73" s="705"/>
      <c r="IHR73" s="799"/>
      <c r="IHS73" s="800"/>
      <c r="IHT73" s="800"/>
      <c r="IHU73" s="800"/>
      <c r="IHV73" s="800"/>
      <c r="IHW73" s="800"/>
      <c r="IHX73" s="705"/>
      <c r="IHY73" s="799"/>
      <c r="IHZ73" s="800"/>
      <c r="IIA73" s="800"/>
      <c r="IIB73" s="800"/>
      <c r="IIC73" s="800"/>
      <c r="IID73" s="800"/>
      <c r="IIE73" s="705"/>
      <c r="IIF73" s="799"/>
      <c r="IIG73" s="800"/>
      <c r="IIH73" s="800"/>
      <c r="III73" s="800"/>
      <c r="IIJ73" s="800"/>
      <c r="IIK73" s="800"/>
      <c r="IIL73" s="705"/>
      <c r="IIM73" s="799"/>
      <c r="IIN73" s="800"/>
      <c r="IIO73" s="800"/>
      <c r="IIP73" s="800"/>
      <c r="IIQ73" s="800"/>
      <c r="IIR73" s="800"/>
      <c r="IIS73" s="705"/>
      <c r="IIT73" s="799"/>
      <c r="IIU73" s="800"/>
      <c r="IIV73" s="800"/>
      <c r="IIW73" s="800"/>
      <c r="IIX73" s="800"/>
      <c r="IIY73" s="800"/>
      <c r="IIZ73" s="705"/>
      <c r="IJA73" s="799"/>
      <c r="IJB73" s="800"/>
      <c r="IJC73" s="800"/>
      <c r="IJD73" s="800"/>
      <c r="IJE73" s="800"/>
      <c r="IJF73" s="800"/>
      <c r="IJG73" s="705"/>
      <c r="IJH73" s="799"/>
      <c r="IJI73" s="800"/>
      <c r="IJJ73" s="800"/>
      <c r="IJK73" s="800"/>
      <c r="IJL73" s="800"/>
      <c r="IJM73" s="800"/>
      <c r="IJN73" s="705"/>
      <c r="IJO73" s="799"/>
      <c r="IJP73" s="800"/>
      <c r="IJQ73" s="800"/>
      <c r="IJR73" s="800"/>
      <c r="IJS73" s="800"/>
      <c r="IJT73" s="800"/>
      <c r="IJU73" s="705"/>
      <c r="IJV73" s="799"/>
      <c r="IJW73" s="800"/>
      <c r="IJX73" s="800"/>
      <c r="IJY73" s="800"/>
      <c r="IJZ73" s="800"/>
      <c r="IKA73" s="800"/>
      <c r="IKB73" s="705"/>
      <c r="IKC73" s="799"/>
      <c r="IKD73" s="800"/>
      <c r="IKE73" s="800"/>
      <c r="IKF73" s="800"/>
      <c r="IKG73" s="800"/>
      <c r="IKH73" s="800"/>
      <c r="IKI73" s="705"/>
      <c r="IKJ73" s="799"/>
      <c r="IKK73" s="800"/>
      <c r="IKL73" s="800"/>
      <c r="IKM73" s="800"/>
      <c r="IKN73" s="800"/>
      <c r="IKO73" s="800"/>
      <c r="IKP73" s="705"/>
      <c r="IKQ73" s="799"/>
      <c r="IKR73" s="800"/>
      <c r="IKS73" s="800"/>
      <c r="IKT73" s="800"/>
      <c r="IKU73" s="800"/>
      <c r="IKV73" s="800"/>
      <c r="IKW73" s="705"/>
      <c r="IKX73" s="799"/>
      <c r="IKY73" s="800"/>
      <c r="IKZ73" s="800"/>
      <c r="ILA73" s="800"/>
      <c r="ILB73" s="800"/>
      <c r="ILC73" s="800"/>
      <c r="ILD73" s="705"/>
      <c r="ILE73" s="799"/>
      <c r="ILF73" s="800"/>
      <c r="ILG73" s="800"/>
      <c r="ILH73" s="800"/>
      <c r="ILI73" s="800"/>
      <c r="ILJ73" s="800"/>
      <c r="ILK73" s="705"/>
      <c r="ILL73" s="799"/>
      <c r="ILM73" s="800"/>
      <c r="ILN73" s="800"/>
      <c r="ILO73" s="800"/>
      <c r="ILP73" s="800"/>
      <c r="ILQ73" s="800"/>
      <c r="ILR73" s="705"/>
      <c r="ILS73" s="799"/>
      <c r="ILT73" s="800"/>
      <c r="ILU73" s="800"/>
      <c r="ILV73" s="800"/>
      <c r="ILW73" s="800"/>
      <c r="ILX73" s="800"/>
      <c r="ILY73" s="705"/>
      <c r="ILZ73" s="799"/>
      <c r="IMA73" s="800"/>
      <c r="IMB73" s="800"/>
      <c r="IMC73" s="800"/>
      <c r="IMD73" s="800"/>
      <c r="IME73" s="800"/>
      <c r="IMF73" s="705"/>
      <c r="IMG73" s="799"/>
      <c r="IMH73" s="800"/>
      <c r="IMI73" s="800"/>
      <c r="IMJ73" s="800"/>
      <c r="IMK73" s="800"/>
      <c r="IML73" s="800"/>
      <c r="IMM73" s="705"/>
      <c r="IMN73" s="799"/>
      <c r="IMO73" s="800"/>
      <c r="IMP73" s="800"/>
      <c r="IMQ73" s="800"/>
      <c r="IMR73" s="800"/>
      <c r="IMS73" s="800"/>
      <c r="IMT73" s="705"/>
      <c r="IMU73" s="799"/>
      <c r="IMV73" s="800"/>
      <c r="IMW73" s="800"/>
      <c r="IMX73" s="800"/>
      <c r="IMY73" s="800"/>
      <c r="IMZ73" s="800"/>
      <c r="INA73" s="705"/>
      <c r="INB73" s="799"/>
      <c r="INC73" s="800"/>
      <c r="IND73" s="800"/>
      <c r="INE73" s="800"/>
      <c r="INF73" s="800"/>
      <c r="ING73" s="800"/>
      <c r="INH73" s="705"/>
      <c r="INI73" s="799"/>
      <c r="INJ73" s="800"/>
      <c r="INK73" s="800"/>
      <c r="INL73" s="800"/>
      <c r="INM73" s="800"/>
      <c r="INN73" s="800"/>
      <c r="INO73" s="705"/>
      <c r="INP73" s="799"/>
      <c r="INQ73" s="800"/>
      <c r="INR73" s="800"/>
      <c r="INS73" s="800"/>
      <c r="INT73" s="800"/>
      <c r="INU73" s="800"/>
      <c r="INV73" s="705"/>
      <c r="INW73" s="799"/>
      <c r="INX73" s="800"/>
      <c r="INY73" s="800"/>
      <c r="INZ73" s="800"/>
      <c r="IOA73" s="800"/>
      <c r="IOB73" s="800"/>
      <c r="IOC73" s="705"/>
      <c r="IOD73" s="799"/>
      <c r="IOE73" s="800"/>
      <c r="IOF73" s="800"/>
      <c r="IOG73" s="800"/>
      <c r="IOH73" s="800"/>
      <c r="IOI73" s="800"/>
      <c r="IOJ73" s="705"/>
      <c r="IOK73" s="799"/>
      <c r="IOL73" s="800"/>
      <c r="IOM73" s="800"/>
      <c r="ION73" s="800"/>
      <c r="IOO73" s="800"/>
      <c r="IOP73" s="800"/>
      <c r="IOQ73" s="705"/>
      <c r="IOR73" s="799"/>
      <c r="IOS73" s="800"/>
      <c r="IOT73" s="800"/>
      <c r="IOU73" s="800"/>
      <c r="IOV73" s="800"/>
      <c r="IOW73" s="800"/>
      <c r="IOX73" s="705"/>
      <c r="IOY73" s="799"/>
      <c r="IOZ73" s="800"/>
      <c r="IPA73" s="800"/>
      <c r="IPB73" s="800"/>
      <c r="IPC73" s="800"/>
      <c r="IPD73" s="800"/>
      <c r="IPE73" s="705"/>
      <c r="IPF73" s="799"/>
      <c r="IPG73" s="800"/>
      <c r="IPH73" s="800"/>
      <c r="IPI73" s="800"/>
      <c r="IPJ73" s="800"/>
      <c r="IPK73" s="800"/>
      <c r="IPL73" s="705"/>
      <c r="IPM73" s="799"/>
      <c r="IPN73" s="800"/>
      <c r="IPO73" s="800"/>
      <c r="IPP73" s="800"/>
      <c r="IPQ73" s="800"/>
      <c r="IPR73" s="800"/>
      <c r="IPS73" s="705"/>
      <c r="IPT73" s="799"/>
      <c r="IPU73" s="800"/>
      <c r="IPV73" s="800"/>
      <c r="IPW73" s="800"/>
      <c r="IPX73" s="800"/>
      <c r="IPY73" s="800"/>
      <c r="IPZ73" s="705"/>
      <c r="IQA73" s="799"/>
      <c r="IQB73" s="800"/>
      <c r="IQC73" s="800"/>
      <c r="IQD73" s="800"/>
      <c r="IQE73" s="800"/>
      <c r="IQF73" s="800"/>
      <c r="IQG73" s="705"/>
      <c r="IQH73" s="799"/>
      <c r="IQI73" s="800"/>
      <c r="IQJ73" s="800"/>
      <c r="IQK73" s="800"/>
      <c r="IQL73" s="800"/>
      <c r="IQM73" s="800"/>
      <c r="IQN73" s="705"/>
      <c r="IQO73" s="799"/>
      <c r="IQP73" s="800"/>
      <c r="IQQ73" s="800"/>
      <c r="IQR73" s="800"/>
      <c r="IQS73" s="800"/>
      <c r="IQT73" s="800"/>
      <c r="IQU73" s="705"/>
      <c r="IQV73" s="799"/>
      <c r="IQW73" s="800"/>
      <c r="IQX73" s="800"/>
      <c r="IQY73" s="800"/>
      <c r="IQZ73" s="800"/>
      <c r="IRA73" s="800"/>
      <c r="IRB73" s="705"/>
      <c r="IRC73" s="799"/>
      <c r="IRD73" s="800"/>
      <c r="IRE73" s="800"/>
      <c r="IRF73" s="800"/>
      <c r="IRG73" s="800"/>
      <c r="IRH73" s="800"/>
      <c r="IRI73" s="705"/>
      <c r="IRJ73" s="799"/>
      <c r="IRK73" s="800"/>
      <c r="IRL73" s="800"/>
      <c r="IRM73" s="800"/>
      <c r="IRN73" s="800"/>
      <c r="IRO73" s="800"/>
      <c r="IRP73" s="705"/>
      <c r="IRQ73" s="799"/>
      <c r="IRR73" s="800"/>
      <c r="IRS73" s="800"/>
      <c r="IRT73" s="800"/>
      <c r="IRU73" s="800"/>
      <c r="IRV73" s="800"/>
      <c r="IRW73" s="705"/>
      <c r="IRX73" s="799"/>
      <c r="IRY73" s="800"/>
      <c r="IRZ73" s="800"/>
      <c r="ISA73" s="800"/>
      <c r="ISB73" s="800"/>
      <c r="ISC73" s="800"/>
      <c r="ISD73" s="705"/>
      <c r="ISE73" s="799"/>
      <c r="ISF73" s="800"/>
      <c r="ISG73" s="800"/>
      <c r="ISH73" s="800"/>
      <c r="ISI73" s="800"/>
      <c r="ISJ73" s="800"/>
      <c r="ISK73" s="705"/>
      <c r="ISL73" s="799"/>
      <c r="ISM73" s="800"/>
      <c r="ISN73" s="800"/>
      <c r="ISO73" s="800"/>
      <c r="ISP73" s="800"/>
      <c r="ISQ73" s="800"/>
      <c r="ISR73" s="705"/>
      <c r="ISS73" s="799"/>
      <c r="IST73" s="800"/>
      <c r="ISU73" s="800"/>
      <c r="ISV73" s="800"/>
      <c r="ISW73" s="800"/>
      <c r="ISX73" s="800"/>
      <c r="ISY73" s="705"/>
      <c r="ISZ73" s="799"/>
      <c r="ITA73" s="800"/>
      <c r="ITB73" s="800"/>
      <c r="ITC73" s="800"/>
      <c r="ITD73" s="800"/>
      <c r="ITE73" s="800"/>
      <c r="ITF73" s="705"/>
      <c r="ITG73" s="799"/>
      <c r="ITH73" s="800"/>
      <c r="ITI73" s="800"/>
      <c r="ITJ73" s="800"/>
      <c r="ITK73" s="800"/>
      <c r="ITL73" s="800"/>
      <c r="ITM73" s="705"/>
      <c r="ITN73" s="799"/>
      <c r="ITO73" s="800"/>
      <c r="ITP73" s="800"/>
      <c r="ITQ73" s="800"/>
      <c r="ITR73" s="800"/>
      <c r="ITS73" s="800"/>
      <c r="ITT73" s="705"/>
      <c r="ITU73" s="799"/>
      <c r="ITV73" s="800"/>
      <c r="ITW73" s="800"/>
      <c r="ITX73" s="800"/>
      <c r="ITY73" s="800"/>
      <c r="ITZ73" s="800"/>
      <c r="IUA73" s="705"/>
      <c r="IUB73" s="799"/>
      <c r="IUC73" s="800"/>
      <c r="IUD73" s="800"/>
      <c r="IUE73" s="800"/>
      <c r="IUF73" s="800"/>
      <c r="IUG73" s="800"/>
      <c r="IUH73" s="705"/>
      <c r="IUI73" s="799"/>
      <c r="IUJ73" s="800"/>
      <c r="IUK73" s="800"/>
      <c r="IUL73" s="800"/>
      <c r="IUM73" s="800"/>
      <c r="IUN73" s="800"/>
      <c r="IUO73" s="705"/>
      <c r="IUP73" s="799"/>
      <c r="IUQ73" s="800"/>
      <c r="IUR73" s="800"/>
      <c r="IUS73" s="800"/>
      <c r="IUT73" s="800"/>
      <c r="IUU73" s="800"/>
      <c r="IUV73" s="705"/>
      <c r="IUW73" s="799"/>
      <c r="IUX73" s="800"/>
      <c r="IUY73" s="800"/>
      <c r="IUZ73" s="800"/>
      <c r="IVA73" s="800"/>
      <c r="IVB73" s="800"/>
      <c r="IVC73" s="705"/>
      <c r="IVD73" s="799"/>
      <c r="IVE73" s="800"/>
      <c r="IVF73" s="800"/>
      <c r="IVG73" s="800"/>
      <c r="IVH73" s="800"/>
      <c r="IVI73" s="800"/>
      <c r="IVJ73" s="705"/>
      <c r="IVK73" s="799"/>
      <c r="IVL73" s="800"/>
      <c r="IVM73" s="800"/>
      <c r="IVN73" s="800"/>
      <c r="IVO73" s="800"/>
      <c r="IVP73" s="800"/>
      <c r="IVQ73" s="705"/>
      <c r="IVR73" s="799"/>
      <c r="IVS73" s="800"/>
      <c r="IVT73" s="800"/>
      <c r="IVU73" s="800"/>
      <c r="IVV73" s="800"/>
      <c r="IVW73" s="800"/>
      <c r="IVX73" s="705"/>
      <c r="IVY73" s="799"/>
      <c r="IVZ73" s="800"/>
      <c r="IWA73" s="800"/>
      <c r="IWB73" s="800"/>
      <c r="IWC73" s="800"/>
      <c r="IWD73" s="800"/>
      <c r="IWE73" s="705"/>
      <c r="IWF73" s="799"/>
      <c r="IWG73" s="800"/>
      <c r="IWH73" s="800"/>
      <c r="IWI73" s="800"/>
      <c r="IWJ73" s="800"/>
      <c r="IWK73" s="800"/>
      <c r="IWL73" s="705"/>
      <c r="IWM73" s="799"/>
      <c r="IWN73" s="800"/>
      <c r="IWO73" s="800"/>
      <c r="IWP73" s="800"/>
      <c r="IWQ73" s="800"/>
      <c r="IWR73" s="800"/>
      <c r="IWS73" s="705"/>
      <c r="IWT73" s="799"/>
      <c r="IWU73" s="800"/>
      <c r="IWV73" s="800"/>
      <c r="IWW73" s="800"/>
      <c r="IWX73" s="800"/>
      <c r="IWY73" s="800"/>
      <c r="IWZ73" s="705"/>
      <c r="IXA73" s="799"/>
      <c r="IXB73" s="800"/>
      <c r="IXC73" s="800"/>
      <c r="IXD73" s="800"/>
      <c r="IXE73" s="800"/>
      <c r="IXF73" s="800"/>
      <c r="IXG73" s="705"/>
      <c r="IXH73" s="799"/>
      <c r="IXI73" s="800"/>
      <c r="IXJ73" s="800"/>
      <c r="IXK73" s="800"/>
      <c r="IXL73" s="800"/>
      <c r="IXM73" s="800"/>
      <c r="IXN73" s="705"/>
      <c r="IXO73" s="799"/>
      <c r="IXP73" s="800"/>
      <c r="IXQ73" s="800"/>
      <c r="IXR73" s="800"/>
      <c r="IXS73" s="800"/>
      <c r="IXT73" s="800"/>
      <c r="IXU73" s="705"/>
      <c r="IXV73" s="799"/>
      <c r="IXW73" s="800"/>
      <c r="IXX73" s="800"/>
      <c r="IXY73" s="800"/>
      <c r="IXZ73" s="800"/>
      <c r="IYA73" s="800"/>
      <c r="IYB73" s="705"/>
      <c r="IYC73" s="799"/>
      <c r="IYD73" s="800"/>
      <c r="IYE73" s="800"/>
      <c r="IYF73" s="800"/>
      <c r="IYG73" s="800"/>
      <c r="IYH73" s="800"/>
      <c r="IYI73" s="705"/>
      <c r="IYJ73" s="799"/>
      <c r="IYK73" s="800"/>
      <c r="IYL73" s="800"/>
      <c r="IYM73" s="800"/>
      <c r="IYN73" s="800"/>
      <c r="IYO73" s="800"/>
      <c r="IYP73" s="705"/>
      <c r="IYQ73" s="799"/>
      <c r="IYR73" s="800"/>
      <c r="IYS73" s="800"/>
      <c r="IYT73" s="800"/>
      <c r="IYU73" s="800"/>
      <c r="IYV73" s="800"/>
      <c r="IYW73" s="705"/>
      <c r="IYX73" s="799"/>
      <c r="IYY73" s="800"/>
      <c r="IYZ73" s="800"/>
      <c r="IZA73" s="800"/>
      <c r="IZB73" s="800"/>
      <c r="IZC73" s="800"/>
      <c r="IZD73" s="705"/>
      <c r="IZE73" s="799"/>
      <c r="IZF73" s="800"/>
      <c r="IZG73" s="800"/>
      <c r="IZH73" s="800"/>
      <c r="IZI73" s="800"/>
      <c r="IZJ73" s="800"/>
      <c r="IZK73" s="705"/>
      <c r="IZL73" s="799"/>
      <c r="IZM73" s="800"/>
      <c r="IZN73" s="800"/>
      <c r="IZO73" s="800"/>
      <c r="IZP73" s="800"/>
      <c r="IZQ73" s="800"/>
      <c r="IZR73" s="705"/>
      <c r="IZS73" s="799"/>
      <c r="IZT73" s="800"/>
      <c r="IZU73" s="800"/>
      <c r="IZV73" s="800"/>
      <c r="IZW73" s="800"/>
      <c r="IZX73" s="800"/>
      <c r="IZY73" s="705"/>
      <c r="IZZ73" s="799"/>
      <c r="JAA73" s="800"/>
      <c r="JAB73" s="800"/>
      <c r="JAC73" s="800"/>
      <c r="JAD73" s="800"/>
      <c r="JAE73" s="800"/>
      <c r="JAF73" s="705"/>
      <c r="JAG73" s="799"/>
      <c r="JAH73" s="800"/>
      <c r="JAI73" s="800"/>
      <c r="JAJ73" s="800"/>
      <c r="JAK73" s="800"/>
      <c r="JAL73" s="800"/>
      <c r="JAM73" s="705"/>
      <c r="JAN73" s="799"/>
      <c r="JAO73" s="800"/>
      <c r="JAP73" s="800"/>
      <c r="JAQ73" s="800"/>
      <c r="JAR73" s="800"/>
      <c r="JAS73" s="800"/>
      <c r="JAT73" s="705"/>
      <c r="JAU73" s="799"/>
      <c r="JAV73" s="800"/>
      <c r="JAW73" s="800"/>
      <c r="JAX73" s="800"/>
      <c r="JAY73" s="800"/>
      <c r="JAZ73" s="800"/>
      <c r="JBA73" s="705"/>
      <c r="JBB73" s="799"/>
      <c r="JBC73" s="800"/>
      <c r="JBD73" s="800"/>
      <c r="JBE73" s="800"/>
      <c r="JBF73" s="800"/>
      <c r="JBG73" s="800"/>
      <c r="JBH73" s="705"/>
      <c r="JBI73" s="799"/>
      <c r="JBJ73" s="800"/>
      <c r="JBK73" s="800"/>
      <c r="JBL73" s="800"/>
      <c r="JBM73" s="800"/>
      <c r="JBN73" s="800"/>
      <c r="JBO73" s="705"/>
      <c r="JBP73" s="799"/>
      <c r="JBQ73" s="800"/>
      <c r="JBR73" s="800"/>
      <c r="JBS73" s="800"/>
      <c r="JBT73" s="800"/>
      <c r="JBU73" s="800"/>
      <c r="JBV73" s="705"/>
      <c r="JBW73" s="799"/>
      <c r="JBX73" s="800"/>
      <c r="JBY73" s="800"/>
      <c r="JBZ73" s="800"/>
      <c r="JCA73" s="800"/>
      <c r="JCB73" s="800"/>
      <c r="JCC73" s="705"/>
      <c r="JCD73" s="799"/>
      <c r="JCE73" s="800"/>
      <c r="JCF73" s="800"/>
      <c r="JCG73" s="800"/>
      <c r="JCH73" s="800"/>
      <c r="JCI73" s="800"/>
      <c r="JCJ73" s="705"/>
      <c r="JCK73" s="799"/>
      <c r="JCL73" s="800"/>
      <c r="JCM73" s="800"/>
      <c r="JCN73" s="800"/>
      <c r="JCO73" s="800"/>
      <c r="JCP73" s="800"/>
      <c r="JCQ73" s="705"/>
      <c r="JCR73" s="799"/>
      <c r="JCS73" s="800"/>
      <c r="JCT73" s="800"/>
      <c r="JCU73" s="800"/>
      <c r="JCV73" s="800"/>
      <c r="JCW73" s="800"/>
      <c r="JCX73" s="705"/>
      <c r="JCY73" s="799"/>
      <c r="JCZ73" s="800"/>
      <c r="JDA73" s="800"/>
      <c r="JDB73" s="800"/>
      <c r="JDC73" s="800"/>
      <c r="JDD73" s="800"/>
      <c r="JDE73" s="705"/>
      <c r="JDF73" s="799"/>
      <c r="JDG73" s="800"/>
      <c r="JDH73" s="800"/>
      <c r="JDI73" s="800"/>
      <c r="JDJ73" s="800"/>
      <c r="JDK73" s="800"/>
      <c r="JDL73" s="705"/>
      <c r="JDM73" s="799"/>
      <c r="JDN73" s="800"/>
      <c r="JDO73" s="800"/>
      <c r="JDP73" s="800"/>
      <c r="JDQ73" s="800"/>
      <c r="JDR73" s="800"/>
      <c r="JDS73" s="705"/>
      <c r="JDT73" s="799"/>
      <c r="JDU73" s="800"/>
      <c r="JDV73" s="800"/>
      <c r="JDW73" s="800"/>
      <c r="JDX73" s="800"/>
      <c r="JDY73" s="800"/>
      <c r="JDZ73" s="705"/>
      <c r="JEA73" s="799"/>
      <c r="JEB73" s="800"/>
      <c r="JEC73" s="800"/>
      <c r="JED73" s="800"/>
      <c r="JEE73" s="800"/>
      <c r="JEF73" s="800"/>
      <c r="JEG73" s="705"/>
      <c r="JEH73" s="799"/>
      <c r="JEI73" s="800"/>
      <c r="JEJ73" s="800"/>
      <c r="JEK73" s="800"/>
      <c r="JEL73" s="800"/>
      <c r="JEM73" s="800"/>
      <c r="JEN73" s="705"/>
      <c r="JEO73" s="799"/>
      <c r="JEP73" s="800"/>
      <c r="JEQ73" s="800"/>
      <c r="JER73" s="800"/>
      <c r="JES73" s="800"/>
      <c r="JET73" s="800"/>
      <c r="JEU73" s="705"/>
      <c r="JEV73" s="799"/>
      <c r="JEW73" s="800"/>
      <c r="JEX73" s="800"/>
      <c r="JEY73" s="800"/>
      <c r="JEZ73" s="800"/>
      <c r="JFA73" s="800"/>
      <c r="JFB73" s="705"/>
      <c r="JFC73" s="799"/>
      <c r="JFD73" s="800"/>
      <c r="JFE73" s="800"/>
      <c r="JFF73" s="800"/>
      <c r="JFG73" s="800"/>
      <c r="JFH73" s="800"/>
      <c r="JFI73" s="705"/>
      <c r="JFJ73" s="799"/>
      <c r="JFK73" s="800"/>
      <c r="JFL73" s="800"/>
      <c r="JFM73" s="800"/>
      <c r="JFN73" s="800"/>
      <c r="JFO73" s="800"/>
      <c r="JFP73" s="705"/>
      <c r="JFQ73" s="799"/>
      <c r="JFR73" s="800"/>
      <c r="JFS73" s="800"/>
      <c r="JFT73" s="800"/>
      <c r="JFU73" s="800"/>
      <c r="JFV73" s="800"/>
      <c r="JFW73" s="705"/>
      <c r="JFX73" s="799"/>
      <c r="JFY73" s="800"/>
      <c r="JFZ73" s="800"/>
      <c r="JGA73" s="800"/>
      <c r="JGB73" s="800"/>
      <c r="JGC73" s="800"/>
      <c r="JGD73" s="705"/>
      <c r="JGE73" s="799"/>
      <c r="JGF73" s="800"/>
      <c r="JGG73" s="800"/>
      <c r="JGH73" s="800"/>
      <c r="JGI73" s="800"/>
      <c r="JGJ73" s="800"/>
      <c r="JGK73" s="705"/>
      <c r="JGL73" s="799"/>
      <c r="JGM73" s="800"/>
      <c r="JGN73" s="800"/>
      <c r="JGO73" s="800"/>
      <c r="JGP73" s="800"/>
      <c r="JGQ73" s="800"/>
      <c r="JGR73" s="705"/>
      <c r="JGS73" s="799"/>
      <c r="JGT73" s="800"/>
      <c r="JGU73" s="800"/>
      <c r="JGV73" s="800"/>
      <c r="JGW73" s="800"/>
      <c r="JGX73" s="800"/>
      <c r="JGY73" s="705"/>
      <c r="JGZ73" s="799"/>
      <c r="JHA73" s="800"/>
      <c r="JHB73" s="800"/>
      <c r="JHC73" s="800"/>
      <c r="JHD73" s="800"/>
      <c r="JHE73" s="800"/>
      <c r="JHF73" s="705"/>
      <c r="JHG73" s="799"/>
      <c r="JHH73" s="800"/>
      <c r="JHI73" s="800"/>
      <c r="JHJ73" s="800"/>
      <c r="JHK73" s="800"/>
      <c r="JHL73" s="800"/>
      <c r="JHM73" s="705"/>
      <c r="JHN73" s="799"/>
      <c r="JHO73" s="800"/>
      <c r="JHP73" s="800"/>
      <c r="JHQ73" s="800"/>
      <c r="JHR73" s="800"/>
      <c r="JHS73" s="800"/>
      <c r="JHT73" s="705"/>
      <c r="JHU73" s="799"/>
      <c r="JHV73" s="800"/>
      <c r="JHW73" s="800"/>
      <c r="JHX73" s="800"/>
      <c r="JHY73" s="800"/>
      <c r="JHZ73" s="800"/>
      <c r="JIA73" s="705"/>
      <c r="JIB73" s="799"/>
      <c r="JIC73" s="800"/>
      <c r="JID73" s="800"/>
      <c r="JIE73" s="800"/>
      <c r="JIF73" s="800"/>
      <c r="JIG73" s="800"/>
      <c r="JIH73" s="705"/>
      <c r="JII73" s="799"/>
      <c r="JIJ73" s="800"/>
      <c r="JIK73" s="800"/>
      <c r="JIL73" s="800"/>
      <c r="JIM73" s="800"/>
      <c r="JIN73" s="800"/>
      <c r="JIO73" s="705"/>
      <c r="JIP73" s="799"/>
      <c r="JIQ73" s="800"/>
      <c r="JIR73" s="800"/>
      <c r="JIS73" s="800"/>
      <c r="JIT73" s="800"/>
      <c r="JIU73" s="800"/>
      <c r="JIV73" s="705"/>
      <c r="JIW73" s="799"/>
      <c r="JIX73" s="800"/>
      <c r="JIY73" s="800"/>
      <c r="JIZ73" s="800"/>
      <c r="JJA73" s="800"/>
      <c r="JJB73" s="800"/>
      <c r="JJC73" s="705"/>
      <c r="JJD73" s="799"/>
      <c r="JJE73" s="800"/>
      <c r="JJF73" s="800"/>
      <c r="JJG73" s="800"/>
      <c r="JJH73" s="800"/>
      <c r="JJI73" s="800"/>
      <c r="JJJ73" s="705"/>
      <c r="JJK73" s="799"/>
      <c r="JJL73" s="800"/>
      <c r="JJM73" s="800"/>
      <c r="JJN73" s="800"/>
      <c r="JJO73" s="800"/>
      <c r="JJP73" s="800"/>
      <c r="JJQ73" s="705"/>
      <c r="JJR73" s="799"/>
      <c r="JJS73" s="800"/>
      <c r="JJT73" s="800"/>
      <c r="JJU73" s="800"/>
      <c r="JJV73" s="800"/>
      <c r="JJW73" s="800"/>
      <c r="JJX73" s="705"/>
      <c r="JJY73" s="799"/>
      <c r="JJZ73" s="800"/>
      <c r="JKA73" s="800"/>
      <c r="JKB73" s="800"/>
      <c r="JKC73" s="800"/>
      <c r="JKD73" s="800"/>
      <c r="JKE73" s="705"/>
      <c r="JKF73" s="799"/>
      <c r="JKG73" s="800"/>
      <c r="JKH73" s="800"/>
      <c r="JKI73" s="800"/>
      <c r="JKJ73" s="800"/>
      <c r="JKK73" s="800"/>
      <c r="JKL73" s="705"/>
      <c r="JKM73" s="799"/>
      <c r="JKN73" s="800"/>
      <c r="JKO73" s="800"/>
      <c r="JKP73" s="800"/>
      <c r="JKQ73" s="800"/>
      <c r="JKR73" s="800"/>
      <c r="JKS73" s="705"/>
      <c r="JKT73" s="799"/>
      <c r="JKU73" s="800"/>
      <c r="JKV73" s="800"/>
      <c r="JKW73" s="800"/>
      <c r="JKX73" s="800"/>
      <c r="JKY73" s="800"/>
      <c r="JKZ73" s="705"/>
      <c r="JLA73" s="799"/>
      <c r="JLB73" s="800"/>
      <c r="JLC73" s="800"/>
      <c r="JLD73" s="800"/>
      <c r="JLE73" s="800"/>
      <c r="JLF73" s="800"/>
      <c r="JLG73" s="705"/>
      <c r="JLH73" s="799"/>
      <c r="JLI73" s="800"/>
      <c r="JLJ73" s="800"/>
      <c r="JLK73" s="800"/>
      <c r="JLL73" s="800"/>
      <c r="JLM73" s="800"/>
      <c r="JLN73" s="705"/>
      <c r="JLO73" s="799"/>
      <c r="JLP73" s="800"/>
      <c r="JLQ73" s="800"/>
      <c r="JLR73" s="800"/>
      <c r="JLS73" s="800"/>
      <c r="JLT73" s="800"/>
      <c r="JLU73" s="705"/>
      <c r="JLV73" s="799"/>
      <c r="JLW73" s="800"/>
      <c r="JLX73" s="800"/>
      <c r="JLY73" s="800"/>
      <c r="JLZ73" s="800"/>
      <c r="JMA73" s="800"/>
      <c r="JMB73" s="705"/>
      <c r="JMC73" s="799"/>
      <c r="JMD73" s="800"/>
      <c r="JME73" s="800"/>
      <c r="JMF73" s="800"/>
      <c r="JMG73" s="800"/>
      <c r="JMH73" s="800"/>
      <c r="JMI73" s="705"/>
      <c r="JMJ73" s="799"/>
      <c r="JMK73" s="800"/>
      <c r="JML73" s="800"/>
      <c r="JMM73" s="800"/>
      <c r="JMN73" s="800"/>
      <c r="JMO73" s="800"/>
      <c r="JMP73" s="705"/>
      <c r="JMQ73" s="799"/>
      <c r="JMR73" s="800"/>
      <c r="JMS73" s="800"/>
      <c r="JMT73" s="800"/>
      <c r="JMU73" s="800"/>
      <c r="JMV73" s="800"/>
      <c r="JMW73" s="705"/>
      <c r="JMX73" s="799"/>
      <c r="JMY73" s="800"/>
      <c r="JMZ73" s="800"/>
      <c r="JNA73" s="800"/>
      <c r="JNB73" s="800"/>
      <c r="JNC73" s="800"/>
      <c r="JND73" s="705"/>
      <c r="JNE73" s="799"/>
      <c r="JNF73" s="800"/>
      <c r="JNG73" s="800"/>
      <c r="JNH73" s="800"/>
      <c r="JNI73" s="800"/>
      <c r="JNJ73" s="800"/>
      <c r="JNK73" s="705"/>
      <c r="JNL73" s="799"/>
      <c r="JNM73" s="800"/>
      <c r="JNN73" s="800"/>
      <c r="JNO73" s="800"/>
      <c r="JNP73" s="800"/>
      <c r="JNQ73" s="800"/>
      <c r="JNR73" s="705"/>
      <c r="JNS73" s="799"/>
      <c r="JNT73" s="800"/>
      <c r="JNU73" s="800"/>
      <c r="JNV73" s="800"/>
      <c r="JNW73" s="800"/>
      <c r="JNX73" s="800"/>
      <c r="JNY73" s="705"/>
      <c r="JNZ73" s="799"/>
      <c r="JOA73" s="800"/>
      <c r="JOB73" s="800"/>
      <c r="JOC73" s="800"/>
      <c r="JOD73" s="800"/>
      <c r="JOE73" s="800"/>
      <c r="JOF73" s="705"/>
      <c r="JOG73" s="799"/>
      <c r="JOH73" s="800"/>
      <c r="JOI73" s="800"/>
      <c r="JOJ73" s="800"/>
      <c r="JOK73" s="800"/>
      <c r="JOL73" s="800"/>
      <c r="JOM73" s="705"/>
      <c r="JON73" s="799"/>
      <c r="JOO73" s="800"/>
      <c r="JOP73" s="800"/>
      <c r="JOQ73" s="800"/>
      <c r="JOR73" s="800"/>
      <c r="JOS73" s="800"/>
      <c r="JOT73" s="705"/>
      <c r="JOU73" s="799"/>
      <c r="JOV73" s="800"/>
      <c r="JOW73" s="800"/>
      <c r="JOX73" s="800"/>
      <c r="JOY73" s="800"/>
      <c r="JOZ73" s="800"/>
      <c r="JPA73" s="705"/>
      <c r="JPB73" s="799"/>
      <c r="JPC73" s="800"/>
      <c r="JPD73" s="800"/>
      <c r="JPE73" s="800"/>
      <c r="JPF73" s="800"/>
      <c r="JPG73" s="800"/>
      <c r="JPH73" s="705"/>
      <c r="JPI73" s="799"/>
      <c r="JPJ73" s="800"/>
      <c r="JPK73" s="800"/>
      <c r="JPL73" s="800"/>
      <c r="JPM73" s="800"/>
      <c r="JPN73" s="800"/>
      <c r="JPO73" s="705"/>
      <c r="JPP73" s="799"/>
      <c r="JPQ73" s="800"/>
      <c r="JPR73" s="800"/>
      <c r="JPS73" s="800"/>
      <c r="JPT73" s="800"/>
      <c r="JPU73" s="800"/>
      <c r="JPV73" s="705"/>
      <c r="JPW73" s="799"/>
      <c r="JPX73" s="800"/>
      <c r="JPY73" s="800"/>
      <c r="JPZ73" s="800"/>
      <c r="JQA73" s="800"/>
      <c r="JQB73" s="800"/>
      <c r="JQC73" s="705"/>
      <c r="JQD73" s="799"/>
      <c r="JQE73" s="800"/>
      <c r="JQF73" s="800"/>
      <c r="JQG73" s="800"/>
      <c r="JQH73" s="800"/>
      <c r="JQI73" s="800"/>
      <c r="JQJ73" s="705"/>
      <c r="JQK73" s="799"/>
      <c r="JQL73" s="800"/>
      <c r="JQM73" s="800"/>
      <c r="JQN73" s="800"/>
      <c r="JQO73" s="800"/>
      <c r="JQP73" s="800"/>
      <c r="JQQ73" s="705"/>
      <c r="JQR73" s="799"/>
      <c r="JQS73" s="800"/>
      <c r="JQT73" s="800"/>
      <c r="JQU73" s="800"/>
      <c r="JQV73" s="800"/>
      <c r="JQW73" s="800"/>
      <c r="JQX73" s="705"/>
      <c r="JQY73" s="799"/>
      <c r="JQZ73" s="800"/>
      <c r="JRA73" s="800"/>
      <c r="JRB73" s="800"/>
      <c r="JRC73" s="800"/>
      <c r="JRD73" s="800"/>
      <c r="JRE73" s="705"/>
      <c r="JRF73" s="799"/>
      <c r="JRG73" s="800"/>
      <c r="JRH73" s="800"/>
      <c r="JRI73" s="800"/>
      <c r="JRJ73" s="800"/>
      <c r="JRK73" s="800"/>
      <c r="JRL73" s="705"/>
      <c r="JRM73" s="799"/>
      <c r="JRN73" s="800"/>
      <c r="JRO73" s="800"/>
      <c r="JRP73" s="800"/>
      <c r="JRQ73" s="800"/>
      <c r="JRR73" s="800"/>
      <c r="JRS73" s="705"/>
      <c r="JRT73" s="799"/>
      <c r="JRU73" s="800"/>
      <c r="JRV73" s="800"/>
      <c r="JRW73" s="800"/>
      <c r="JRX73" s="800"/>
      <c r="JRY73" s="800"/>
      <c r="JRZ73" s="705"/>
      <c r="JSA73" s="799"/>
      <c r="JSB73" s="800"/>
      <c r="JSC73" s="800"/>
      <c r="JSD73" s="800"/>
      <c r="JSE73" s="800"/>
      <c r="JSF73" s="800"/>
      <c r="JSG73" s="705"/>
      <c r="JSH73" s="799"/>
      <c r="JSI73" s="800"/>
      <c r="JSJ73" s="800"/>
      <c r="JSK73" s="800"/>
      <c r="JSL73" s="800"/>
      <c r="JSM73" s="800"/>
      <c r="JSN73" s="705"/>
      <c r="JSO73" s="799"/>
      <c r="JSP73" s="800"/>
      <c r="JSQ73" s="800"/>
      <c r="JSR73" s="800"/>
      <c r="JSS73" s="800"/>
      <c r="JST73" s="800"/>
      <c r="JSU73" s="705"/>
      <c r="JSV73" s="799"/>
      <c r="JSW73" s="800"/>
      <c r="JSX73" s="800"/>
      <c r="JSY73" s="800"/>
      <c r="JSZ73" s="800"/>
      <c r="JTA73" s="800"/>
      <c r="JTB73" s="705"/>
      <c r="JTC73" s="799"/>
      <c r="JTD73" s="800"/>
      <c r="JTE73" s="800"/>
      <c r="JTF73" s="800"/>
      <c r="JTG73" s="800"/>
      <c r="JTH73" s="800"/>
      <c r="JTI73" s="705"/>
      <c r="JTJ73" s="799"/>
      <c r="JTK73" s="800"/>
      <c r="JTL73" s="800"/>
      <c r="JTM73" s="800"/>
      <c r="JTN73" s="800"/>
      <c r="JTO73" s="800"/>
      <c r="JTP73" s="705"/>
      <c r="JTQ73" s="799"/>
      <c r="JTR73" s="800"/>
      <c r="JTS73" s="800"/>
      <c r="JTT73" s="800"/>
      <c r="JTU73" s="800"/>
      <c r="JTV73" s="800"/>
      <c r="JTW73" s="705"/>
      <c r="JTX73" s="799"/>
      <c r="JTY73" s="800"/>
      <c r="JTZ73" s="800"/>
      <c r="JUA73" s="800"/>
      <c r="JUB73" s="800"/>
      <c r="JUC73" s="800"/>
      <c r="JUD73" s="705"/>
      <c r="JUE73" s="799"/>
      <c r="JUF73" s="800"/>
      <c r="JUG73" s="800"/>
      <c r="JUH73" s="800"/>
      <c r="JUI73" s="800"/>
      <c r="JUJ73" s="800"/>
      <c r="JUK73" s="705"/>
      <c r="JUL73" s="799"/>
      <c r="JUM73" s="800"/>
      <c r="JUN73" s="800"/>
      <c r="JUO73" s="800"/>
      <c r="JUP73" s="800"/>
      <c r="JUQ73" s="800"/>
      <c r="JUR73" s="705"/>
      <c r="JUS73" s="799"/>
      <c r="JUT73" s="800"/>
      <c r="JUU73" s="800"/>
      <c r="JUV73" s="800"/>
      <c r="JUW73" s="800"/>
      <c r="JUX73" s="800"/>
      <c r="JUY73" s="705"/>
      <c r="JUZ73" s="799"/>
      <c r="JVA73" s="800"/>
      <c r="JVB73" s="800"/>
      <c r="JVC73" s="800"/>
      <c r="JVD73" s="800"/>
      <c r="JVE73" s="800"/>
      <c r="JVF73" s="705"/>
      <c r="JVG73" s="799"/>
      <c r="JVH73" s="800"/>
      <c r="JVI73" s="800"/>
      <c r="JVJ73" s="800"/>
      <c r="JVK73" s="800"/>
      <c r="JVL73" s="800"/>
      <c r="JVM73" s="705"/>
      <c r="JVN73" s="799"/>
      <c r="JVO73" s="800"/>
      <c r="JVP73" s="800"/>
      <c r="JVQ73" s="800"/>
      <c r="JVR73" s="800"/>
      <c r="JVS73" s="800"/>
      <c r="JVT73" s="705"/>
      <c r="JVU73" s="799"/>
      <c r="JVV73" s="800"/>
      <c r="JVW73" s="800"/>
      <c r="JVX73" s="800"/>
      <c r="JVY73" s="800"/>
      <c r="JVZ73" s="800"/>
      <c r="JWA73" s="705"/>
      <c r="JWB73" s="799"/>
      <c r="JWC73" s="800"/>
      <c r="JWD73" s="800"/>
      <c r="JWE73" s="800"/>
      <c r="JWF73" s="800"/>
      <c r="JWG73" s="800"/>
      <c r="JWH73" s="705"/>
      <c r="JWI73" s="799"/>
      <c r="JWJ73" s="800"/>
      <c r="JWK73" s="800"/>
      <c r="JWL73" s="800"/>
      <c r="JWM73" s="800"/>
      <c r="JWN73" s="800"/>
      <c r="JWO73" s="705"/>
      <c r="JWP73" s="799"/>
      <c r="JWQ73" s="800"/>
      <c r="JWR73" s="800"/>
      <c r="JWS73" s="800"/>
      <c r="JWT73" s="800"/>
      <c r="JWU73" s="800"/>
      <c r="JWV73" s="705"/>
      <c r="JWW73" s="799"/>
      <c r="JWX73" s="800"/>
      <c r="JWY73" s="800"/>
      <c r="JWZ73" s="800"/>
      <c r="JXA73" s="800"/>
      <c r="JXB73" s="800"/>
      <c r="JXC73" s="705"/>
      <c r="JXD73" s="799"/>
      <c r="JXE73" s="800"/>
      <c r="JXF73" s="800"/>
      <c r="JXG73" s="800"/>
      <c r="JXH73" s="800"/>
      <c r="JXI73" s="800"/>
      <c r="JXJ73" s="705"/>
      <c r="JXK73" s="799"/>
      <c r="JXL73" s="800"/>
      <c r="JXM73" s="800"/>
      <c r="JXN73" s="800"/>
      <c r="JXO73" s="800"/>
      <c r="JXP73" s="800"/>
      <c r="JXQ73" s="705"/>
      <c r="JXR73" s="799"/>
      <c r="JXS73" s="800"/>
      <c r="JXT73" s="800"/>
      <c r="JXU73" s="800"/>
      <c r="JXV73" s="800"/>
      <c r="JXW73" s="800"/>
      <c r="JXX73" s="705"/>
      <c r="JXY73" s="799"/>
      <c r="JXZ73" s="800"/>
      <c r="JYA73" s="800"/>
      <c r="JYB73" s="800"/>
      <c r="JYC73" s="800"/>
      <c r="JYD73" s="800"/>
      <c r="JYE73" s="705"/>
      <c r="JYF73" s="799"/>
      <c r="JYG73" s="800"/>
      <c r="JYH73" s="800"/>
      <c r="JYI73" s="800"/>
      <c r="JYJ73" s="800"/>
      <c r="JYK73" s="800"/>
      <c r="JYL73" s="705"/>
      <c r="JYM73" s="799"/>
      <c r="JYN73" s="800"/>
      <c r="JYO73" s="800"/>
      <c r="JYP73" s="800"/>
      <c r="JYQ73" s="800"/>
      <c r="JYR73" s="800"/>
      <c r="JYS73" s="705"/>
      <c r="JYT73" s="799"/>
      <c r="JYU73" s="800"/>
      <c r="JYV73" s="800"/>
      <c r="JYW73" s="800"/>
      <c r="JYX73" s="800"/>
      <c r="JYY73" s="800"/>
      <c r="JYZ73" s="705"/>
      <c r="JZA73" s="799"/>
      <c r="JZB73" s="800"/>
      <c r="JZC73" s="800"/>
      <c r="JZD73" s="800"/>
      <c r="JZE73" s="800"/>
      <c r="JZF73" s="800"/>
      <c r="JZG73" s="705"/>
      <c r="JZH73" s="799"/>
      <c r="JZI73" s="800"/>
      <c r="JZJ73" s="800"/>
      <c r="JZK73" s="800"/>
      <c r="JZL73" s="800"/>
      <c r="JZM73" s="800"/>
      <c r="JZN73" s="705"/>
      <c r="JZO73" s="799"/>
      <c r="JZP73" s="800"/>
      <c r="JZQ73" s="800"/>
      <c r="JZR73" s="800"/>
      <c r="JZS73" s="800"/>
      <c r="JZT73" s="800"/>
      <c r="JZU73" s="705"/>
      <c r="JZV73" s="799"/>
      <c r="JZW73" s="800"/>
      <c r="JZX73" s="800"/>
      <c r="JZY73" s="800"/>
      <c r="JZZ73" s="800"/>
      <c r="KAA73" s="800"/>
      <c r="KAB73" s="705"/>
      <c r="KAC73" s="799"/>
      <c r="KAD73" s="800"/>
      <c r="KAE73" s="800"/>
      <c r="KAF73" s="800"/>
      <c r="KAG73" s="800"/>
      <c r="KAH73" s="800"/>
      <c r="KAI73" s="705"/>
      <c r="KAJ73" s="799"/>
      <c r="KAK73" s="800"/>
      <c r="KAL73" s="800"/>
      <c r="KAM73" s="800"/>
      <c r="KAN73" s="800"/>
      <c r="KAO73" s="800"/>
      <c r="KAP73" s="705"/>
      <c r="KAQ73" s="799"/>
      <c r="KAR73" s="800"/>
      <c r="KAS73" s="800"/>
      <c r="KAT73" s="800"/>
      <c r="KAU73" s="800"/>
      <c r="KAV73" s="800"/>
      <c r="KAW73" s="705"/>
      <c r="KAX73" s="799"/>
      <c r="KAY73" s="800"/>
      <c r="KAZ73" s="800"/>
      <c r="KBA73" s="800"/>
      <c r="KBB73" s="800"/>
      <c r="KBC73" s="800"/>
      <c r="KBD73" s="705"/>
      <c r="KBE73" s="799"/>
      <c r="KBF73" s="800"/>
      <c r="KBG73" s="800"/>
      <c r="KBH73" s="800"/>
      <c r="KBI73" s="800"/>
      <c r="KBJ73" s="800"/>
      <c r="KBK73" s="705"/>
      <c r="KBL73" s="799"/>
      <c r="KBM73" s="800"/>
      <c r="KBN73" s="800"/>
      <c r="KBO73" s="800"/>
      <c r="KBP73" s="800"/>
      <c r="KBQ73" s="800"/>
      <c r="KBR73" s="705"/>
      <c r="KBS73" s="799"/>
      <c r="KBT73" s="800"/>
      <c r="KBU73" s="800"/>
      <c r="KBV73" s="800"/>
      <c r="KBW73" s="800"/>
      <c r="KBX73" s="800"/>
      <c r="KBY73" s="705"/>
      <c r="KBZ73" s="799"/>
      <c r="KCA73" s="800"/>
      <c r="KCB73" s="800"/>
      <c r="KCC73" s="800"/>
      <c r="KCD73" s="800"/>
      <c r="KCE73" s="800"/>
      <c r="KCF73" s="705"/>
      <c r="KCG73" s="799"/>
      <c r="KCH73" s="800"/>
      <c r="KCI73" s="800"/>
      <c r="KCJ73" s="800"/>
      <c r="KCK73" s="800"/>
      <c r="KCL73" s="800"/>
      <c r="KCM73" s="705"/>
      <c r="KCN73" s="799"/>
      <c r="KCO73" s="800"/>
      <c r="KCP73" s="800"/>
      <c r="KCQ73" s="800"/>
      <c r="KCR73" s="800"/>
      <c r="KCS73" s="800"/>
      <c r="KCT73" s="705"/>
      <c r="KCU73" s="799"/>
      <c r="KCV73" s="800"/>
      <c r="KCW73" s="800"/>
      <c r="KCX73" s="800"/>
      <c r="KCY73" s="800"/>
      <c r="KCZ73" s="800"/>
      <c r="KDA73" s="705"/>
      <c r="KDB73" s="799"/>
      <c r="KDC73" s="800"/>
      <c r="KDD73" s="800"/>
      <c r="KDE73" s="800"/>
      <c r="KDF73" s="800"/>
      <c r="KDG73" s="800"/>
      <c r="KDH73" s="705"/>
      <c r="KDI73" s="799"/>
      <c r="KDJ73" s="800"/>
      <c r="KDK73" s="800"/>
      <c r="KDL73" s="800"/>
      <c r="KDM73" s="800"/>
      <c r="KDN73" s="800"/>
      <c r="KDO73" s="705"/>
      <c r="KDP73" s="799"/>
      <c r="KDQ73" s="800"/>
      <c r="KDR73" s="800"/>
      <c r="KDS73" s="800"/>
      <c r="KDT73" s="800"/>
      <c r="KDU73" s="800"/>
      <c r="KDV73" s="705"/>
      <c r="KDW73" s="799"/>
      <c r="KDX73" s="800"/>
      <c r="KDY73" s="800"/>
      <c r="KDZ73" s="800"/>
      <c r="KEA73" s="800"/>
      <c r="KEB73" s="800"/>
      <c r="KEC73" s="705"/>
      <c r="KED73" s="799"/>
      <c r="KEE73" s="800"/>
      <c r="KEF73" s="800"/>
      <c r="KEG73" s="800"/>
      <c r="KEH73" s="800"/>
      <c r="KEI73" s="800"/>
      <c r="KEJ73" s="705"/>
      <c r="KEK73" s="799"/>
      <c r="KEL73" s="800"/>
      <c r="KEM73" s="800"/>
      <c r="KEN73" s="800"/>
      <c r="KEO73" s="800"/>
      <c r="KEP73" s="800"/>
      <c r="KEQ73" s="705"/>
      <c r="KER73" s="799"/>
      <c r="KES73" s="800"/>
      <c r="KET73" s="800"/>
      <c r="KEU73" s="800"/>
      <c r="KEV73" s="800"/>
      <c r="KEW73" s="800"/>
      <c r="KEX73" s="705"/>
      <c r="KEY73" s="799"/>
      <c r="KEZ73" s="800"/>
      <c r="KFA73" s="800"/>
      <c r="KFB73" s="800"/>
      <c r="KFC73" s="800"/>
      <c r="KFD73" s="800"/>
      <c r="KFE73" s="705"/>
      <c r="KFF73" s="799"/>
      <c r="KFG73" s="800"/>
      <c r="KFH73" s="800"/>
      <c r="KFI73" s="800"/>
      <c r="KFJ73" s="800"/>
      <c r="KFK73" s="800"/>
      <c r="KFL73" s="705"/>
      <c r="KFM73" s="799"/>
      <c r="KFN73" s="800"/>
      <c r="KFO73" s="800"/>
      <c r="KFP73" s="800"/>
      <c r="KFQ73" s="800"/>
      <c r="KFR73" s="800"/>
      <c r="KFS73" s="705"/>
      <c r="KFT73" s="799"/>
      <c r="KFU73" s="800"/>
      <c r="KFV73" s="800"/>
      <c r="KFW73" s="800"/>
      <c r="KFX73" s="800"/>
      <c r="KFY73" s="800"/>
      <c r="KFZ73" s="705"/>
      <c r="KGA73" s="799"/>
      <c r="KGB73" s="800"/>
      <c r="KGC73" s="800"/>
      <c r="KGD73" s="800"/>
      <c r="KGE73" s="800"/>
      <c r="KGF73" s="800"/>
      <c r="KGG73" s="705"/>
      <c r="KGH73" s="799"/>
      <c r="KGI73" s="800"/>
      <c r="KGJ73" s="800"/>
      <c r="KGK73" s="800"/>
      <c r="KGL73" s="800"/>
      <c r="KGM73" s="800"/>
      <c r="KGN73" s="705"/>
      <c r="KGO73" s="799"/>
      <c r="KGP73" s="800"/>
      <c r="KGQ73" s="800"/>
      <c r="KGR73" s="800"/>
      <c r="KGS73" s="800"/>
      <c r="KGT73" s="800"/>
      <c r="KGU73" s="705"/>
      <c r="KGV73" s="799"/>
      <c r="KGW73" s="800"/>
      <c r="KGX73" s="800"/>
      <c r="KGY73" s="800"/>
      <c r="KGZ73" s="800"/>
      <c r="KHA73" s="800"/>
      <c r="KHB73" s="705"/>
      <c r="KHC73" s="799"/>
      <c r="KHD73" s="800"/>
      <c r="KHE73" s="800"/>
      <c r="KHF73" s="800"/>
      <c r="KHG73" s="800"/>
      <c r="KHH73" s="800"/>
      <c r="KHI73" s="705"/>
      <c r="KHJ73" s="799"/>
      <c r="KHK73" s="800"/>
      <c r="KHL73" s="800"/>
      <c r="KHM73" s="800"/>
      <c r="KHN73" s="800"/>
      <c r="KHO73" s="800"/>
      <c r="KHP73" s="705"/>
      <c r="KHQ73" s="799"/>
      <c r="KHR73" s="800"/>
      <c r="KHS73" s="800"/>
      <c r="KHT73" s="800"/>
      <c r="KHU73" s="800"/>
      <c r="KHV73" s="800"/>
      <c r="KHW73" s="705"/>
      <c r="KHX73" s="799"/>
      <c r="KHY73" s="800"/>
      <c r="KHZ73" s="800"/>
      <c r="KIA73" s="800"/>
      <c r="KIB73" s="800"/>
      <c r="KIC73" s="800"/>
      <c r="KID73" s="705"/>
      <c r="KIE73" s="799"/>
      <c r="KIF73" s="800"/>
      <c r="KIG73" s="800"/>
      <c r="KIH73" s="800"/>
      <c r="KII73" s="800"/>
      <c r="KIJ73" s="800"/>
      <c r="KIK73" s="705"/>
      <c r="KIL73" s="799"/>
      <c r="KIM73" s="800"/>
      <c r="KIN73" s="800"/>
      <c r="KIO73" s="800"/>
      <c r="KIP73" s="800"/>
      <c r="KIQ73" s="800"/>
      <c r="KIR73" s="705"/>
      <c r="KIS73" s="799"/>
      <c r="KIT73" s="800"/>
      <c r="KIU73" s="800"/>
      <c r="KIV73" s="800"/>
      <c r="KIW73" s="800"/>
      <c r="KIX73" s="800"/>
      <c r="KIY73" s="705"/>
      <c r="KIZ73" s="799"/>
      <c r="KJA73" s="800"/>
      <c r="KJB73" s="800"/>
      <c r="KJC73" s="800"/>
      <c r="KJD73" s="800"/>
      <c r="KJE73" s="800"/>
      <c r="KJF73" s="705"/>
      <c r="KJG73" s="799"/>
      <c r="KJH73" s="800"/>
      <c r="KJI73" s="800"/>
      <c r="KJJ73" s="800"/>
      <c r="KJK73" s="800"/>
      <c r="KJL73" s="800"/>
      <c r="KJM73" s="705"/>
      <c r="KJN73" s="799"/>
      <c r="KJO73" s="800"/>
      <c r="KJP73" s="800"/>
      <c r="KJQ73" s="800"/>
      <c r="KJR73" s="800"/>
      <c r="KJS73" s="800"/>
      <c r="KJT73" s="705"/>
      <c r="KJU73" s="799"/>
      <c r="KJV73" s="800"/>
      <c r="KJW73" s="800"/>
      <c r="KJX73" s="800"/>
      <c r="KJY73" s="800"/>
      <c r="KJZ73" s="800"/>
      <c r="KKA73" s="705"/>
      <c r="KKB73" s="799"/>
      <c r="KKC73" s="800"/>
      <c r="KKD73" s="800"/>
      <c r="KKE73" s="800"/>
      <c r="KKF73" s="800"/>
      <c r="KKG73" s="800"/>
      <c r="KKH73" s="705"/>
      <c r="KKI73" s="799"/>
      <c r="KKJ73" s="800"/>
      <c r="KKK73" s="800"/>
      <c r="KKL73" s="800"/>
      <c r="KKM73" s="800"/>
      <c r="KKN73" s="800"/>
      <c r="KKO73" s="705"/>
      <c r="KKP73" s="799"/>
      <c r="KKQ73" s="800"/>
      <c r="KKR73" s="800"/>
      <c r="KKS73" s="800"/>
      <c r="KKT73" s="800"/>
      <c r="KKU73" s="800"/>
      <c r="KKV73" s="705"/>
      <c r="KKW73" s="799"/>
      <c r="KKX73" s="800"/>
      <c r="KKY73" s="800"/>
      <c r="KKZ73" s="800"/>
      <c r="KLA73" s="800"/>
      <c r="KLB73" s="800"/>
      <c r="KLC73" s="705"/>
      <c r="KLD73" s="799"/>
      <c r="KLE73" s="800"/>
      <c r="KLF73" s="800"/>
      <c r="KLG73" s="800"/>
      <c r="KLH73" s="800"/>
      <c r="KLI73" s="800"/>
      <c r="KLJ73" s="705"/>
      <c r="KLK73" s="799"/>
      <c r="KLL73" s="800"/>
      <c r="KLM73" s="800"/>
      <c r="KLN73" s="800"/>
      <c r="KLO73" s="800"/>
      <c r="KLP73" s="800"/>
      <c r="KLQ73" s="705"/>
      <c r="KLR73" s="799"/>
      <c r="KLS73" s="800"/>
      <c r="KLT73" s="800"/>
      <c r="KLU73" s="800"/>
      <c r="KLV73" s="800"/>
      <c r="KLW73" s="800"/>
      <c r="KLX73" s="705"/>
      <c r="KLY73" s="799"/>
      <c r="KLZ73" s="800"/>
      <c r="KMA73" s="800"/>
      <c r="KMB73" s="800"/>
      <c r="KMC73" s="800"/>
      <c r="KMD73" s="800"/>
      <c r="KME73" s="705"/>
      <c r="KMF73" s="799"/>
      <c r="KMG73" s="800"/>
      <c r="KMH73" s="800"/>
      <c r="KMI73" s="800"/>
      <c r="KMJ73" s="800"/>
      <c r="KMK73" s="800"/>
      <c r="KML73" s="705"/>
      <c r="KMM73" s="799"/>
      <c r="KMN73" s="800"/>
      <c r="KMO73" s="800"/>
      <c r="KMP73" s="800"/>
      <c r="KMQ73" s="800"/>
      <c r="KMR73" s="800"/>
      <c r="KMS73" s="705"/>
      <c r="KMT73" s="799"/>
      <c r="KMU73" s="800"/>
      <c r="KMV73" s="800"/>
      <c r="KMW73" s="800"/>
      <c r="KMX73" s="800"/>
      <c r="KMY73" s="800"/>
      <c r="KMZ73" s="705"/>
      <c r="KNA73" s="799"/>
      <c r="KNB73" s="800"/>
      <c r="KNC73" s="800"/>
      <c r="KND73" s="800"/>
      <c r="KNE73" s="800"/>
      <c r="KNF73" s="800"/>
      <c r="KNG73" s="705"/>
      <c r="KNH73" s="799"/>
      <c r="KNI73" s="800"/>
      <c r="KNJ73" s="800"/>
      <c r="KNK73" s="800"/>
      <c r="KNL73" s="800"/>
      <c r="KNM73" s="800"/>
      <c r="KNN73" s="705"/>
      <c r="KNO73" s="799"/>
      <c r="KNP73" s="800"/>
      <c r="KNQ73" s="800"/>
      <c r="KNR73" s="800"/>
      <c r="KNS73" s="800"/>
      <c r="KNT73" s="800"/>
      <c r="KNU73" s="705"/>
      <c r="KNV73" s="799"/>
      <c r="KNW73" s="800"/>
      <c r="KNX73" s="800"/>
      <c r="KNY73" s="800"/>
      <c r="KNZ73" s="800"/>
      <c r="KOA73" s="800"/>
      <c r="KOB73" s="705"/>
      <c r="KOC73" s="799"/>
      <c r="KOD73" s="800"/>
      <c r="KOE73" s="800"/>
      <c r="KOF73" s="800"/>
      <c r="KOG73" s="800"/>
      <c r="KOH73" s="800"/>
      <c r="KOI73" s="705"/>
      <c r="KOJ73" s="799"/>
      <c r="KOK73" s="800"/>
      <c r="KOL73" s="800"/>
      <c r="KOM73" s="800"/>
      <c r="KON73" s="800"/>
      <c r="KOO73" s="800"/>
      <c r="KOP73" s="705"/>
      <c r="KOQ73" s="799"/>
      <c r="KOR73" s="800"/>
      <c r="KOS73" s="800"/>
      <c r="KOT73" s="800"/>
      <c r="KOU73" s="800"/>
      <c r="KOV73" s="800"/>
      <c r="KOW73" s="705"/>
      <c r="KOX73" s="799"/>
      <c r="KOY73" s="800"/>
      <c r="KOZ73" s="800"/>
      <c r="KPA73" s="800"/>
      <c r="KPB73" s="800"/>
      <c r="KPC73" s="800"/>
      <c r="KPD73" s="705"/>
      <c r="KPE73" s="799"/>
      <c r="KPF73" s="800"/>
      <c r="KPG73" s="800"/>
      <c r="KPH73" s="800"/>
      <c r="KPI73" s="800"/>
      <c r="KPJ73" s="800"/>
      <c r="KPK73" s="705"/>
      <c r="KPL73" s="799"/>
      <c r="KPM73" s="800"/>
      <c r="KPN73" s="800"/>
      <c r="KPO73" s="800"/>
      <c r="KPP73" s="800"/>
      <c r="KPQ73" s="800"/>
      <c r="KPR73" s="705"/>
      <c r="KPS73" s="799"/>
      <c r="KPT73" s="800"/>
      <c r="KPU73" s="800"/>
      <c r="KPV73" s="800"/>
      <c r="KPW73" s="800"/>
      <c r="KPX73" s="800"/>
      <c r="KPY73" s="705"/>
      <c r="KPZ73" s="799"/>
      <c r="KQA73" s="800"/>
      <c r="KQB73" s="800"/>
      <c r="KQC73" s="800"/>
      <c r="KQD73" s="800"/>
      <c r="KQE73" s="800"/>
      <c r="KQF73" s="705"/>
      <c r="KQG73" s="799"/>
      <c r="KQH73" s="800"/>
      <c r="KQI73" s="800"/>
      <c r="KQJ73" s="800"/>
      <c r="KQK73" s="800"/>
      <c r="KQL73" s="800"/>
      <c r="KQM73" s="705"/>
      <c r="KQN73" s="799"/>
      <c r="KQO73" s="800"/>
      <c r="KQP73" s="800"/>
      <c r="KQQ73" s="800"/>
      <c r="KQR73" s="800"/>
      <c r="KQS73" s="800"/>
      <c r="KQT73" s="705"/>
      <c r="KQU73" s="799"/>
      <c r="KQV73" s="800"/>
      <c r="KQW73" s="800"/>
      <c r="KQX73" s="800"/>
      <c r="KQY73" s="800"/>
      <c r="KQZ73" s="800"/>
      <c r="KRA73" s="705"/>
      <c r="KRB73" s="799"/>
      <c r="KRC73" s="800"/>
      <c r="KRD73" s="800"/>
      <c r="KRE73" s="800"/>
      <c r="KRF73" s="800"/>
      <c r="KRG73" s="800"/>
      <c r="KRH73" s="705"/>
      <c r="KRI73" s="799"/>
      <c r="KRJ73" s="800"/>
      <c r="KRK73" s="800"/>
      <c r="KRL73" s="800"/>
      <c r="KRM73" s="800"/>
      <c r="KRN73" s="800"/>
      <c r="KRO73" s="705"/>
      <c r="KRP73" s="799"/>
      <c r="KRQ73" s="800"/>
      <c r="KRR73" s="800"/>
      <c r="KRS73" s="800"/>
      <c r="KRT73" s="800"/>
      <c r="KRU73" s="800"/>
      <c r="KRV73" s="705"/>
      <c r="KRW73" s="799"/>
      <c r="KRX73" s="800"/>
      <c r="KRY73" s="800"/>
      <c r="KRZ73" s="800"/>
      <c r="KSA73" s="800"/>
      <c r="KSB73" s="800"/>
      <c r="KSC73" s="705"/>
      <c r="KSD73" s="799"/>
      <c r="KSE73" s="800"/>
      <c r="KSF73" s="800"/>
      <c r="KSG73" s="800"/>
      <c r="KSH73" s="800"/>
      <c r="KSI73" s="800"/>
      <c r="KSJ73" s="705"/>
      <c r="KSK73" s="799"/>
      <c r="KSL73" s="800"/>
      <c r="KSM73" s="800"/>
      <c r="KSN73" s="800"/>
      <c r="KSO73" s="800"/>
      <c r="KSP73" s="800"/>
      <c r="KSQ73" s="705"/>
      <c r="KSR73" s="799"/>
      <c r="KSS73" s="800"/>
      <c r="KST73" s="800"/>
      <c r="KSU73" s="800"/>
      <c r="KSV73" s="800"/>
      <c r="KSW73" s="800"/>
      <c r="KSX73" s="705"/>
      <c r="KSY73" s="799"/>
      <c r="KSZ73" s="800"/>
      <c r="KTA73" s="800"/>
      <c r="KTB73" s="800"/>
      <c r="KTC73" s="800"/>
      <c r="KTD73" s="800"/>
      <c r="KTE73" s="705"/>
      <c r="KTF73" s="799"/>
      <c r="KTG73" s="800"/>
      <c r="KTH73" s="800"/>
      <c r="KTI73" s="800"/>
      <c r="KTJ73" s="800"/>
      <c r="KTK73" s="800"/>
      <c r="KTL73" s="705"/>
      <c r="KTM73" s="799"/>
      <c r="KTN73" s="800"/>
      <c r="KTO73" s="800"/>
      <c r="KTP73" s="800"/>
      <c r="KTQ73" s="800"/>
      <c r="KTR73" s="800"/>
      <c r="KTS73" s="705"/>
      <c r="KTT73" s="799"/>
      <c r="KTU73" s="800"/>
      <c r="KTV73" s="800"/>
      <c r="KTW73" s="800"/>
      <c r="KTX73" s="800"/>
      <c r="KTY73" s="800"/>
      <c r="KTZ73" s="705"/>
      <c r="KUA73" s="799"/>
      <c r="KUB73" s="800"/>
      <c r="KUC73" s="800"/>
      <c r="KUD73" s="800"/>
      <c r="KUE73" s="800"/>
      <c r="KUF73" s="800"/>
      <c r="KUG73" s="705"/>
      <c r="KUH73" s="799"/>
      <c r="KUI73" s="800"/>
      <c r="KUJ73" s="800"/>
      <c r="KUK73" s="800"/>
      <c r="KUL73" s="800"/>
      <c r="KUM73" s="800"/>
      <c r="KUN73" s="705"/>
      <c r="KUO73" s="799"/>
      <c r="KUP73" s="800"/>
      <c r="KUQ73" s="800"/>
      <c r="KUR73" s="800"/>
      <c r="KUS73" s="800"/>
      <c r="KUT73" s="800"/>
      <c r="KUU73" s="705"/>
      <c r="KUV73" s="799"/>
      <c r="KUW73" s="800"/>
      <c r="KUX73" s="800"/>
      <c r="KUY73" s="800"/>
      <c r="KUZ73" s="800"/>
      <c r="KVA73" s="800"/>
      <c r="KVB73" s="705"/>
      <c r="KVC73" s="799"/>
      <c r="KVD73" s="800"/>
      <c r="KVE73" s="800"/>
      <c r="KVF73" s="800"/>
      <c r="KVG73" s="800"/>
      <c r="KVH73" s="800"/>
      <c r="KVI73" s="705"/>
      <c r="KVJ73" s="799"/>
      <c r="KVK73" s="800"/>
      <c r="KVL73" s="800"/>
      <c r="KVM73" s="800"/>
      <c r="KVN73" s="800"/>
      <c r="KVO73" s="800"/>
      <c r="KVP73" s="705"/>
      <c r="KVQ73" s="799"/>
      <c r="KVR73" s="800"/>
      <c r="KVS73" s="800"/>
      <c r="KVT73" s="800"/>
      <c r="KVU73" s="800"/>
      <c r="KVV73" s="800"/>
      <c r="KVW73" s="705"/>
      <c r="KVX73" s="799"/>
      <c r="KVY73" s="800"/>
      <c r="KVZ73" s="800"/>
      <c r="KWA73" s="800"/>
      <c r="KWB73" s="800"/>
      <c r="KWC73" s="800"/>
      <c r="KWD73" s="705"/>
      <c r="KWE73" s="799"/>
      <c r="KWF73" s="800"/>
      <c r="KWG73" s="800"/>
      <c r="KWH73" s="800"/>
      <c r="KWI73" s="800"/>
      <c r="KWJ73" s="800"/>
      <c r="KWK73" s="705"/>
      <c r="KWL73" s="799"/>
      <c r="KWM73" s="800"/>
      <c r="KWN73" s="800"/>
      <c r="KWO73" s="800"/>
      <c r="KWP73" s="800"/>
      <c r="KWQ73" s="800"/>
      <c r="KWR73" s="705"/>
      <c r="KWS73" s="799"/>
      <c r="KWT73" s="800"/>
      <c r="KWU73" s="800"/>
      <c r="KWV73" s="800"/>
      <c r="KWW73" s="800"/>
      <c r="KWX73" s="800"/>
      <c r="KWY73" s="705"/>
      <c r="KWZ73" s="799"/>
      <c r="KXA73" s="800"/>
      <c r="KXB73" s="800"/>
      <c r="KXC73" s="800"/>
      <c r="KXD73" s="800"/>
      <c r="KXE73" s="800"/>
      <c r="KXF73" s="705"/>
      <c r="KXG73" s="799"/>
      <c r="KXH73" s="800"/>
      <c r="KXI73" s="800"/>
      <c r="KXJ73" s="800"/>
      <c r="KXK73" s="800"/>
      <c r="KXL73" s="800"/>
      <c r="KXM73" s="705"/>
      <c r="KXN73" s="799"/>
      <c r="KXO73" s="800"/>
      <c r="KXP73" s="800"/>
      <c r="KXQ73" s="800"/>
      <c r="KXR73" s="800"/>
      <c r="KXS73" s="800"/>
      <c r="KXT73" s="705"/>
      <c r="KXU73" s="799"/>
      <c r="KXV73" s="800"/>
      <c r="KXW73" s="800"/>
      <c r="KXX73" s="800"/>
      <c r="KXY73" s="800"/>
      <c r="KXZ73" s="800"/>
      <c r="KYA73" s="705"/>
      <c r="KYB73" s="799"/>
      <c r="KYC73" s="800"/>
      <c r="KYD73" s="800"/>
      <c r="KYE73" s="800"/>
      <c r="KYF73" s="800"/>
      <c r="KYG73" s="800"/>
      <c r="KYH73" s="705"/>
      <c r="KYI73" s="799"/>
      <c r="KYJ73" s="800"/>
      <c r="KYK73" s="800"/>
      <c r="KYL73" s="800"/>
      <c r="KYM73" s="800"/>
      <c r="KYN73" s="800"/>
      <c r="KYO73" s="705"/>
      <c r="KYP73" s="799"/>
      <c r="KYQ73" s="800"/>
      <c r="KYR73" s="800"/>
      <c r="KYS73" s="800"/>
      <c r="KYT73" s="800"/>
      <c r="KYU73" s="800"/>
      <c r="KYV73" s="705"/>
      <c r="KYW73" s="799"/>
      <c r="KYX73" s="800"/>
      <c r="KYY73" s="800"/>
      <c r="KYZ73" s="800"/>
      <c r="KZA73" s="800"/>
      <c r="KZB73" s="800"/>
      <c r="KZC73" s="705"/>
      <c r="KZD73" s="799"/>
      <c r="KZE73" s="800"/>
      <c r="KZF73" s="800"/>
      <c r="KZG73" s="800"/>
      <c r="KZH73" s="800"/>
      <c r="KZI73" s="800"/>
      <c r="KZJ73" s="705"/>
      <c r="KZK73" s="799"/>
      <c r="KZL73" s="800"/>
      <c r="KZM73" s="800"/>
      <c r="KZN73" s="800"/>
      <c r="KZO73" s="800"/>
      <c r="KZP73" s="800"/>
      <c r="KZQ73" s="705"/>
      <c r="KZR73" s="799"/>
      <c r="KZS73" s="800"/>
      <c r="KZT73" s="800"/>
      <c r="KZU73" s="800"/>
      <c r="KZV73" s="800"/>
      <c r="KZW73" s="800"/>
      <c r="KZX73" s="705"/>
      <c r="KZY73" s="799"/>
      <c r="KZZ73" s="800"/>
      <c r="LAA73" s="800"/>
      <c r="LAB73" s="800"/>
      <c r="LAC73" s="800"/>
      <c r="LAD73" s="800"/>
      <c r="LAE73" s="705"/>
      <c r="LAF73" s="799"/>
      <c r="LAG73" s="800"/>
      <c r="LAH73" s="800"/>
      <c r="LAI73" s="800"/>
      <c r="LAJ73" s="800"/>
      <c r="LAK73" s="800"/>
      <c r="LAL73" s="705"/>
      <c r="LAM73" s="799"/>
      <c r="LAN73" s="800"/>
      <c r="LAO73" s="800"/>
      <c r="LAP73" s="800"/>
      <c r="LAQ73" s="800"/>
      <c r="LAR73" s="800"/>
      <c r="LAS73" s="705"/>
      <c r="LAT73" s="799"/>
      <c r="LAU73" s="800"/>
      <c r="LAV73" s="800"/>
      <c r="LAW73" s="800"/>
      <c r="LAX73" s="800"/>
      <c r="LAY73" s="800"/>
      <c r="LAZ73" s="705"/>
      <c r="LBA73" s="799"/>
      <c r="LBB73" s="800"/>
      <c r="LBC73" s="800"/>
      <c r="LBD73" s="800"/>
      <c r="LBE73" s="800"/>
      <c r="LBF73" s="800"/>
      <c r="LBG73" s="705"/>
      <c r="LBH73" s="799"/>
      <c r="LBI73" s="800"/>
      <c r="LBJ73" s="800"/>
      <c r="LBK73" s="800"/>
      <c r="LBL73" s="800"/>
      <c r="LBM73" s="800"/>
      <c r="LBN73" s="705"/>
      <c r="LBO73" s="799"/>
      <c r="LBP73" s="800"/>
      <c r="LBQ73" s="800"/>
      <c r="LBR73" s="800"/>
      <c r="LBS73" s="800"/>
      <c r="LBT73" s="800"/>
      <c r="LBU73" s="705"/>
      <c r="LBV73" s="799"/>
      <c r="LBW73" s="800"/>
      <c r="LBX73" s="800"/>
      <c r="LBY73" s="800"/>
      <c r="LBZ73" s="800"/>
      <c r="LCA73" s="800"/>
      <c r="LCB73" s="705"/>
      <c r="LCC73" s="799"/>
      <c r="LCD73" s="800"/>
      <c r="LCE73" s="800"/>
      <c r="LCF73" s="800"/>
      <c r="LCG73" s="800"/>
      <c r="LCH73" s="800"/>
      <c r="LCI73" s="705"/>
      <c r="LCJ73" s="799"/>
      <c r="LCK73" s="800"/>
      <c r="LCL73" s="800"/>
      <c r="LCM73" s="800"/>
      <c r="LCN73" s="800"/>
      <c r="LCO73" s="800"/>
      <c r="LCP73" s="705"/>
      <c r="LCQ73" s="799"/>
      <c r="LCR73" s="800"/>
      <c r="LCS73" s="800"/>
      <c r="LCT73" s="800"/>
      <c r="LCU73" s="800"/>
      <c r="LCV73" s="800"/>
      <c r="LCW73" s="705"/>
      <c r="LCX73" s="799"/>
      <c r="LCY73" s="800"/>
      <c r="LCZ73" s="800"/>
      <c r="LDA73" s="800"/>
      <c r="LDB73" s="800"/>
      <c r="LDC73" s="800"/>
      <c r="LDD73" s="705"/>
      <c r="LDE73" s="799"/>
      <c r="LDF73" s="800"/>
      <c r="LDG73" s="800"/>
      <c r="LDH73" s="800"/>
      <c r="LDI73" s="800"/>
      <c r="LDJ73" s="800"/>
      <c r="LDK73" s="705"/>
      <c r="LDL73" s="799"/>
      <c r="LDM73" s="800"/>
      <c r="LDN73" s="800"/>
      <c r="LDO73" s="800"/>
      <c r="LDP73" s="800"/>
      <c r="LDQ73" s="800"/>
      <c r="LDR73" s="705"/>
      <c r="LDS73" s="799"/>
      <c r="LDT73" s="800"/>
      <c r="LDU73" s="800"/>
      <c r="LDV73" s="800"/>
      <c r="LDW73" s="800"/>
      <c r="LDX73" s="800"/>
      <c r="LDY73" s="705"/>
      <c r="LDZ73" s="799"/>
      <c r="LEA73" s="800"/>
      <c r="LEB73" s="800"/>
      <c r="LEC73" s="800"/>
      <c r="LED73" s="800"/>
      <c r="LEE73" s="800"/>
      <c r="LEF73" s="705"/>
      <c r="LEG73" s="799"/>
      <c r="LEH73" s="800"/>
      <c r="LEI73" s="800"/>
      <c r="LEJ73" s="800"/>
      <c r="LEK73" s="800"/>
      <c r="LEL73" s="800"/>
      <c r="LEM73" s="705"/>
      <c r="LEN73" s="799"/>
      <c r="LEO73" s="800"/>
      <c r="LEP73" s="800"/>
      <c r="LEQ73" s="800"/>
      <c r="LER73" s="800"/>
      <c r="LES73" s="800"/>
      <c r="LET73" s="705"/>
      <c r="LEU73" s="799"/>
      <c r="LEV73" s="800"/>
      <c r="LEW73" s="800"/>
      <c r="LEX73" s="800"/>
      <c r="LEY73" s="800"/>
      <c r="LEZ73" s="800"/>
      <c r="LFA73" s="705"/>
      <c r="LFB73" s="799"/>
      <c r="LFC73" s="800"/>
      <c r="LFD73" s="800"/>
      <c r="LFE73" s="800"/>
      <c r="LFF73" s="800"/>
      <c r="LFG73" s="800"/>
      <c r="LFH73" s="705"/>
      <c r="LFI73" s="799"/>
      <c r="LFJ73" s="800"/>
      <c r="LFK73" s="800"/>
      <c r="LFL73" s="800"/>
      <c r="LFM73" s="800"/>
      <c r="LFN73" s="800"/>
      <c r="LFO73" s="705"/>
      <c r="LFP73" s="799"/>
      <c r="LFQ73" s="800"/>
      <c r="LFR73" s="800"/>
      <c r="LFS73" s="800"/>
      <c r="LFT73" s="800"/>
      <c r="LFU73" s="800"/>
      <c r="LFV73" s="705"/>
      <c r="LFW73" s="799"/>
      <c r="LFX73" s="800"/>
      <c r="LFY73" s="800"/>
      <c r="LFZ73" s="800"/>
      <c r="LGA73" s="800"/>
      <c r="LGB73" s="800"/>
      <c r="LGC73" s="705"/>
      <c r="LGD73" s="799"/>
      <c r="LGE73" s="800"/>
      <c r="LGF73" s="800"/>
      <c r="LGG73" s="800"/>
      <c r="LGH73" s="800"/>
      <c r="LGI73" s="800"/>
      <c r="LGJ73" s="705"/>
      <c r="LGK73" s="799"/>
      <c r="LGL73" s="800"/>
      <c r="LGM73" s="800"/>
      <c r="LGN73" s="800"/>
      <c r="LGO73" s="800"/>
      <c r="LGP73" s="800"/>
      <c r="LGQ73" s="705"/>
      <c r="LGR73" s="799"/>
      <c r="LGS73" s="800"/>
      <c r="LGT73" s="800"/>
      <c r="LGU73" s="800"/>
      <c r="LGV73" s="800"/>
      <c r="LGW73" s="800"/>
      <c r="LGX73" s="705"/>
      <c r="LGY73" s="799"/>
      <c r="LGZ73" s="800"/>
      <c r="LHA73" s="800"/>
      <c r="LHB73" s="800"/>
      <c r="LHC73" s="800"/>
      <c r="LHD73" s="800"/>
      <c r="LHE73" s="705"/>
      <c r="LHF73" s="799"/>
      <c r="LHG73" s="800"/>
      <c r="LHH73" s="800"/>
      <c r="LHI73" s="800"/>
      <c r="LHJ73" s="800"/>
      <c r="LHK73" s="800"/>
      <c r="LHL73" s="705"/>
      <c r="LHM73" s="799"/>
      <c r="LHN73" s="800"/>
      <c r="LHO73" s="800"/>
      <c r="LHP73" s="800"/>
      <c r="LHQ73" s="800"/>
      <c r="LHR73" s="800"/>
      <c r="LHS73" s="705"/>
      <c r="LHT73" s="799"/>
      <c r="LHU73" s="800"/>
      <c r="LHV73" s="800"/>
      <c r="LHW73" s="800"/>
      <c r="LHX73" s="800"/>
      <c r="LHY73" s="800"/>
      <c r="LHZ73" s="705"/>
      <c r="LIA73" s="799"/>
      <c r="LIB73" s="800"/>
      <c r="LIC73" s="800"/>
      <c r="LID73" s="800"/>
      <c r="LIE73" s="800"/>
      <c r="LIF73" s="800"/>
      <c r="LIG73" s="705"/>
      <c r="LIH73" s="799"/>
      <c r="LII73" s="800"/>
      <c r="LIJ73" s="800"/>
      <c r="LIK73" s="800"/>
      <c r="LIL73" s="800"/>
      <c r="LIM73" s="800"/>
      <c r="LIN73" s="705"/>
      <c r="LIO73" s="799"/>
      <c r="LIP73" s="800"/>
      <c r="LIQ73" s="800"/>
      <c r="LIR73" s="800"/>
      <c r="LIS73" s="800"/>
      <c r="LIT73" s="800"/>
      <c r="LIU73" s="705"/>
      <c r="LIV73" s="799"/>
      <c r="LIW73" s="800"/>
      <c r="LIX73" s="800"/>
      <c r="LIY73" s="800"/>
      <c r="LIZ73" s="800"/>
      <c r="LJA73" s="800"/>
      <c r="LJB73" s="705"/>
      <c r="LJC73" s="799"/>
      <c r="LJD73" s="800"/>
      <c r="LJE73" s="800"/>
      <c r="LJF73" s="800"/>
      <c r="LJG73" s="800"/>
      <c r="LJH73" s="800"/>
      <c r="LJI73" s="705"/>
      <c r="LJJ73" s="799"/>
      <c r="LJK73" s="800"/>
      <c r="LJL73" s="800"/>
      <c r="LJM73" s="800"/>
      <c r="LJN73" s="800"/>
      <c r="LJO73" s="800"/>
      <c r="LJP73" s="705"/>
      <c r="LJQ73" s="799"/>
      <c r="LJR73" s="800"/>
      <c r="LJS73" s="800"/>
      <c r="LJT73" s="800"/>
      <c r="LJU73" s="800"/>
      <c r="LJV73" s="800"/>
      <c r="LJW73" s="705"/>
      <c r="LJX73" s="799"/>
      <c r="LJY73" s="800"/>
      <c r="LJZ73" s="800"/>
      <c r="LKA73" s="800"/>
      <c r="LKB73" s="800"/>
      <c r="LKC73" s="800"/>
      <c r="LKD73" s="705"/>
      <c r="LKE73" s="799"/>
      <c r="LKF73" s="800"/>
      <c r="LKG73" s="800"/>
      <c r="LKH73" s="800"/>
      <c r="LKI73" s="800"/>
      <c r="LKJ73" s="800"/>
      <c r="LKK73" s="705"/>
      <c r="LKL73" s="799"/>
      <c r="LKM73" s="800"/>
      <c r="LKN73" s="800"/>
      <c r="LKO73" s="800"/>
      <c r="LKP73" s="800"/>
      <c r="LKQ73" s="800"/>
      <c r="LKR73" s="705"/>
      <c r="LKS73" s="799"/>
      <c r="LKT73" s="800"/>
      <c r="LKU73" s="800"/>
      <c r="LKV73" s="800"/>
      <c r="LKW73" s="800"/>
      <c r="LKX73" s="800"/>
      <c r="LKY73" s="705"/>
      <c r="LKZ73" s="799"/>
      <c r="LLA73" s="800"/>
      <c r="LLB73" s="800"/>
      <c r="LLC73" s="800"/>
      <c r="LLD73" s="800"/>
      <c r="LLE73" s="800"/>
      <c r="LLF73" s="705"/>
      <c r="LLG73" s="799"/>
      <c r="LLH73" s="800"/>
      <c r="LLI73" s="800"/>
      <c r="LLJ73" s="800"/>
      <c r="LLK73" s="800"/>
      <c r="LLL73" s="800"/>
      <c r="LLM73" s="705"/>
      <c r="LLN73" s="799"/>
      <c r="LLO73" s="800"/>
      <c r="LLP73" s="800"/>
      <c r="LLQ73" s="800"/>
      <c r="LLR73" s="800"/>
      <c r="LLS73" s="800"/>
      <c r="LLT73" s="705"/>
      <c r="LLU73" s="799"/>
      <c r="LLV73" s="800"/>
      <c r="LLW73" s="800"/>
      <c r="LLX73" s="800"/>
      <c r="LLY73" s="800"/>
      <c r="LLZ73" s="800"/>
      <c r="LMA73" s="705"/>
      <c r="LMB73" s="799"/>
      <c r="LMC73" s="800"/>
      <c r="LMD73" s="800"/>
      <c r="LME73" s="800"/>
      <c r="LMF73" s="800"/>
      <c r="LMG73" s="800"/>
      <c r="LMH73" s="705"/>
      <c r="LMI73" s="799"/>
      <c r="LMJ73" s="800"/>
      <c r="LMK73" s="800"/>
      <c r="LML73" s="800"/>
      <c r="LMM73" s="800"/>
      <c r="LMN73" s="800"/>
      <c r="LMO73" s="705"/>
      <c r="LMP73" s="799"/>
      <c r="LMQ73" s="800"/>
      <c r="LMR73" s="800"/>
      <c r="LMS73" s="800"/>
      <c r="LMT73" s="800"/>
      <c r="LMU73" s="800"/>
      <c r="LMV73" s="705"/>
      <c r="LMW73" s="799"/>
      <c r="LMX73" s="800"/>
      <c r="LMY73" s="800"/>
      <c r="LMZ73" s="800"/>
      <c r="LNA73" s="800"/>
      <c r="LNB73" s="800"/>
      <c r="LNC73" s="705"/>
      <c r="LND73" s="799"/>
      <c r="LNE73" s="800"/>
      <c r="LNF73" s="800"/>
      <c r="LNG73" s="800"/>
      <c r="LNH73" s="800"/>
      <c r="LNI73" s="800"/>
      <c r="LNJ73" s="705"/>
      <c r="LNK73" s="799"/>
      <c r="LNL73" s="800"/>
      <c r="LNM73" s="800"/>
      <c r="LNN73" s="800"/>
      <c r="LNO73" s="800"/>
      <c r="LNP73" s="800"/>
      <c r="LNQ73" s="705"/>
      <c r="LNR73" s="799"/>
      <c r="LNS73" s="800"/>
      <c r="LNT73" s="800"/>
      <c r="LNU73" s="800"/>
      <c r="LNV73" s="800"/>
      <c r="LNW73" s="800"/>
      <c r="LNX73" s="705"/>
      <c r="LNY73" s="799"/>
      <c r="LNZ73" s="800"/>
      <c r="LOA73" s="800"/>
      <c r="LOB73" s="800"/>
      <c r="LOC73" s="800"/>
      <c r="LOD73" s="800"/>
      <c r="LOE73" s="705"/>
      <c r="LOF73" s="799"/>
      <c r="LOG73" s="800"/>
      <c r="LOH73" s="800"/>
      <c r="LOI73" s="800"/>
      <c r="LOJ73" s="800"/>
      <c r="LOK73" s="800"/>
      <c r="LOL73" s="705"/>
      <c r="LOM73" s="799"/>
      <c r="LON73" s="800"/>
      <c r="LOO73" s="800"/>
      <c r="LOP73" s="800"/>
      <c r="LOQ73" s="800"/>
      <c r="LOR73" s="800"/>
      <c r="LOS73" s="705"/>
      <c r="LOT73" s="799"/>
      <c r="LOU73" s="800"/>
      <c r="LOV73" s="800"/>
      <c r="LOW73" s="800"/>
      <c r="LOX73" s="800"/>
      <c r="LOY73" s="800"/>
      <c r="LOZ73" s="705"/>
      <c r="LPA73" s="799"/>
      <c r="LPB73" s="800"/>
      <c r="LPC73" s="800"/>
      <c r="LPD73" s="800"/>
      <c r="LPE73" s="800"/>
      <c r="LPF73" s="800"/>
      <c r="LPG73" s="705"/>
      <c r="LPH73" s="799"/>
      <c r="LPI73" s="800"/>
      <c r="LPJ73" s="800"/>
      <c r="LPK73" s="800"/>
      <c r="LPL73" s="800"/>
      <c r="LPM73" s="800"/>
      <c r="LPN73" s="705"/>
      <c r="LPO73" s="799"/>
      <c r="LPP73" s="800"/>
      <c r="LPQ73" s="800"/>
      <c r="LPR73" s="800"/>
      <c r="LPS73" s="800"/>
      <c r="LPT73" s="800"/>
      <c r="LPU73" s="705"/>
      <c r="LPV73" s="799"/>
      <c r="LPW73" s="800"/>
      <c r="LPX73" s="800"/>
      <c r="LPY73" s="800"/>
      <c r="LPZ73" s="800"/>
      <c r="LQA73" s="800"/>
      <c r="LQB73" s="705"/>
      <c r="LQC73" s="799"/>
      <c r="LQD73" s="800"/>
      <c r="LQE73" s="800"/>
      <c r="LQF73" s="800"/>
      <c r="LQG73" s="800"/>
      <c r="LQH73" s="800"/>
      <c r="LQI73" s="705"/>
      <c r="LQJ73" s="799"/>
      <c r="LQK73" s="800"/>
      <c r="LQL73" s="800"/>
      <c r="LQM73" s="800"/>
      <c r="LQN73" s="800"/>
      <c r="LQO73" s="800"/>
      <c r="LQP73" s="705"/>
      <c r="LQQ73" s="799"/>
      <c r="LQR73" s="800"/>
      <c r="LQS73" s="800"/>
      <c r="LQT73" s="800"/>
      <c r="LQU73" s="800"/>
      <c r="LQV73" s="800"/>
      <c r="LQW73" s="705"/>
      <c r="LQX73" s="799"/>
      <c r="LQY73" s="800"/>
      <c r="LQZ73" s="800"/>
      <c r="LRA73" s="800"/>
      <c r="LRB73" s="800"/>
      <c r="LRC73" s="800"/>
      <c r="LRD73" s="705"/>
      <c r="LRE73" s="799"/>
      <c r="LRF73" s="800"/>
      <c r="LRG73" s="800"/>
      <c r="LRH73" s="800"/>
      <c r="LRI73" s="800"/>
      <c r="LRJ73" s="800"/>
      <c r="LRK73" s="705"/>
      <c r="LRL73" s="799"/>
      <c r="LRM73" s="800"/>
      <c r="LRN73" s="800"/>
      <c r="LRO73" s="800"/>
      <c r="LRP73" s="800"/>
      <c r="LRQ73" s="800"/>
      <c r="LRR73" s="705"/>
      <c r="LRS73" s="799"/>
      <c r="LRT73" s="800"/>
      <c r="LRU73" s="800"/>
      <c r="LRV73" s="800"/>
      <c r="LRW73" s="800"/>
      <c r="LRX73" s="800"/>
      <c r="LRY73" s="705"/>
      <c r="LRZ73" s="799"/>
      <c r="LSA73" s="800"/>
      <c r="LSB73" s="800"/>
      <c r="LSC73" s="800"/>
      <c r="LSD73" s="800"/>
      <c r="LSE73" s="800"/>
      <c r="LSF73" s="705"/>
      <c r="LSG73" s="799"/>
      <c r="LSH73" s="800"/>
      <c r="LSI73" s="800"/>
      <c r="LSJ73" s="800"/>
      <c r="LSK73" s="800"/>
      <c r="LSL73" s="800"/>
      <c r="LSM73" s="705"/>
      <c r="LSN73" s="799"/>
      <c r="LSO73" s="800"/>
      <c r="LSP73" s="800"/>
      <c r="LSQ73" s="800"/>
      <c r="LSR73" s="800"/>
      <c r="LSS73" s="800"/>
      <c r="LST73" s="705"/>
      <c r="LSU73" s="799"/>
      <c r="LSV73" s="800"/>
      <c r="LSW73" s="800"/>
      <c r="LSX73" s="800"/>
      <c r="LSY73" s="800"/>
      <c r="LSZ73" s="800"/>
      <c r="LTA73" s="705"/>
      <c r="LTB73" s="799"/>
      <c r="LTC73" s="800"/>
      <c r="LTD73" s="800"/>
      <c r="LTE73" s="800"/>
      <c r="LTF73" s="800"/>
      <c r="LTG73" s="800"/>
      <c r="LTH73" s="705"/>
      <c r="LTI73" s="799"/>
      <c r="LTJ73" s="800"/>
      <c r="LTK73" s="800"/>
      <c r="LTL73" s="800"/>
      <c r="LTM73" s="800"/>
      <c r="LTN73" s="800"/>
      <c r="LTO73" s="705"/>
      <c r="LTP73" s="799"/>
      <c r="LTQ73" s="800"/>
      <c r="LTR73" s="800"/>
      <c r="LTS73" s="800"/>
      <c r="LTT73" s="800"/>
      <c r="LTU73" s="800"/>
      <c r="LTV73" s="705"/>
      <c r="LTW73" s="799"/>
      <c r="LTX73" s="800"/>
      <c r="LTY73" s="800"/>
      <c r="LTZ73" s="800"/>
      <c r="LUA73" s="800"/>
      <c r="LUB73" s="800"/>
      <c r="LUC73" s="705"/>
      <c r="LUD73" s="799"/>
      <c r="LUE73" s="800"/>
      <c r="LUF73" s="800"/>
      <c r="LUG73" s="800"/>
      <c r="LUH73" s="800"/>
      <c r="LUI73" s="800"/>
      <c r="LUJ73" s="705"/>
      <c r="LUK73" s="799"/>
      <c r="LUL73" s="800"/>
      <c r="LUM73" s="800"/>
      <c r="LUN73" s="800"/>
      <c r="LUO73" s="800"/>
      <c r="LUP73" s="800"/>
      <c r="LUQ73" s="705"/>
      <c r="LUR73" s="799"/>
      <c r="LUS73" s="800"/>
      <c r="LUT73" s="800"/>
      <c r="LUU73" s="800"/>
      <c r="LUV73" s="800"/>
      <c r="LUW73" s="800"/>
      <c r="LUX73" s="705"/>
      <c r="LUY73" s="799"/>
      <c r="LUZ73" s="800"/>
      <c r="LVA73" s="800"/>
      <c r="LVB73" s="800"/>
      <c r="LVC73" s="800"/>
      <c r="LVD73" s="800"/>
      <c r="LVE73" s="705"/>
      <c r="LVF73" s="799"/>
      <c r="LVG73" s="800"/>
      <c r="LVH73" s="800"/>
      <c r="LVI73" s="800"/>
      <c r="LVJ73" s="800"/>
      <c r="LVK73" s="800"/>
      <c r="LVL73" s="705"/>
      <c r="LVM73" s="799"/>
      <c r="LVN73" s="800"/>
      <c r="LVO73" s="800"/>
      <c r="LVP73" s="800"/>
      <c r="LVQ73" s="800"/>
      <c r="LVR73" s="800"/>
      <c r="LVS73" s="705"/>
      <c r="LVT73" s="799"/>
      <c r="LVU73" s="800"/>
      <c r="LVV73" s="800"/>
      <c r="LVW73" s="800"/>
      <c r="LVX73" s="800"/>
      <c r="LVY73" s="800"/>
      <c r="LVZ73" s="705"/>
      <c r="LWA73" s="799"/>
      <c r="LWB73" s="800"/>
      <c r="LWC73" s="800"/>
      <c r="LWD73" s="800"/>
      <c r="LWE73" s="800"/>
      <c r="LWF73" s="800"/>
      <c r="LWG73" s="705"/>
      <c r="LWH73" s="799"/>
      <c r="LWI73" s="800"/>
      <c r="LWJ73" s="800"/>
      <c r="LWK73" s="800"/>
      <c r="LWL73" s="800"/>
      <c r="LWM73" s="800"/>
      <c r="LWN73" s="705"/>
      <c r="LWO73" s="799"/>
      <c r="LWP73" s="800"/>
      <c r="LWQ73" s="800"/>
      <c r="LWR73" s="800"/>
      <c r="LWS73" s="800"/>
      <c r="LWT73" s="800"/>
      <c r="LWU73" s="705"/>
      <c r="LWV73" s="799"/>
      <c r="LWW73" s="800"/>
      <c r="LWX73" s="800"/>
      <c r="LWY73" s="800"/>
      <c r="LWZ73" s="800"/>
      <c r="LXA73" s="800"/>
      <c r="LXB73" s="705"/>
      <c r="LXC73" s="799"/>
      <c r="LXD73" s="800"/>
      <c r="LXE73" s="800"/>
      <c r="LXF73" s="800"/>
      <c r="LXG73" s="800"/>
      <c r="LXH73" s="800"/>
      <c r="LXI73" s="705"/>
      <c r="LXJ73" s="799"/>
      <c r="LXK73" s="800"/>
      <c r="LXL73" s="800"/>
      <c r="LXM73" s="800"/>
      <c r="LXN73" s="800"/>
      <c r="LXO73" s="800"/>
      <c r="LXP73" s="705"/>
      <c r="LXQ73" s="799"/>
      <c r="LXR73" s="800"/>
      <c r="LXS73" s="800"/>
      <c r="LXT73" s="800"/>
      <c r="LXU73" s="800"/>
      <c r="LXV73" s="800"/>
      <c r="LXW73" s="705"/>
      <c r="LXX73" s="799"/>
      <c r="LXY73" s="800"/>
      <c r="LXZ73" s="800"/>
      <c r="LYA73" s="800"/>
      <c r="LYB73" s="800"/>
      <c r="LYC73" s="800"/>
      <c r="LYD73" s="705"/>
      <c r="LYE73" s="799"/>
      <c r="LYF73" s="800"/>
      <c r="LYG73" s="800"/>
      <c r="LYH73" s="800"/>
      <c r="LYI73" s="800"/>
      <c r="LYJ73" s="800"/>
      <c r="LYK73" s="705"/>
      <c r="LYL73" s="799"/>
      <c r="LYM73" s="800"/>
      <c r="LYN73" s="800"/>
      <c r="LYO73" s="800"/>
      <c r="LYP73" s="800"/>
      <c r="LYQ73" s="800"/>
      <c r="LYR73" s="705"/>
      <c r="LYS73" s="799"/>
      <c r="LYT73" s="800"/>
      <c r="LYU73" s="800"/>
      <c r="LYV73" s="800"/>
      <c r="LYW73" s="800"/>
      <c r="LYX73" s="800"/>
      <c r="LYY73" s="705"/>
      <c r="LYZ73" s="799"/>
      <c r="LZA73" s="800"/>
      <c r="LZB73" s="800"/>
      <c r="LZC73" s="800"/>
      <c r="LZD73" s="800"/>
      <c r="LZE73" s="800"/>
      <c r="LZF73" s="705"/>
      <c r="LZG73" s="799"/>
      <c r="LZH73" s="800"/>
      <c r="LZI73" s="800"/>
      <c r="LZJ73" s="800"/>
      <c r="LZK73" s="800"/>
      <c r="LZL73" s="800"/>
      <c r="LZM73" s="705"/>
      <c r="LZN73" s="799"/>
      <c r="LZO73" s="800"/>
      <c r="LZP73" s="800"/>
      <c r="LZQ73" s="800"/>
      <c r="LZR73" s="800"/>
      <c r="LZS73" s="800"/>
      <c r="LZT73" s="705"/>
      <c r="LZU73" s="799"/>
      <c r="LZV73" s="800"/>
      <c r="LZW73" s="800"/>
      <c r="LZX73" s="800"/>
      <c r="LZY73" s="800"/>
      <c r="LZZ73" s="800"/>
      <c r="MAA73" s="705"/>
      <c r="MAB73" s="799"/>
      <c r="MAC73" s="800"/>
      <c r="MAD73" s="800"/>
      <c r="MAE73" s="800"/>
      <c r="MAF73" s="800"/>
      <c r="MAG73" s="800"/>
      <c r="MAH73" s="705"/>
      <c r="MAI73" s="799"/>
      <c r="MAJ73" s="800"/>
      <c r="MAK73" s="800"/>
      <c r="MAL73" s="800"/>
      <c r="MAM73" s="800"/>
      <c r="MAN73" s="800"/>
      <c r="MAO73" s="705"/>
      <c r="MAP73" s="799"/>
      <c r="MAQ73" s="800"/>
      <c r="MAR73" s="800"/>
      <c r="MAS73" s="800"/>
      <c r="MAT73" s="800"/>
      <c r="MAU73" s="800"/>
      <c r="MAV73" s="705"/>
      <c r="MAW73" s="799"/>
      <c r="MAX73" s="800"/>
      <c r="MAY73" s="800"/>
      <c r="MAZ73" s="800"/>
      <c r="MBA73" s="800"/>
      <c r="MBB73" s="800"/>
      <c r="MBC73" s="705"/>
      <c r="MBD73" s="799"/>
      <c r="MBE73" s="800"/>
      <c r="MBF73" s="800"/>
      <c r="MBG73" s="800"/>
      <c r="MBH73" s="800"/>
      <c r="MBI73" s="800"/>
      <c r="MBJ73" s="705"/>
      <c r="MBK73" s="799"/>
      <c r="MBL73" s="800"/>
      <c r="MBM73" s="800"/>
      <c r="MBN73" s="800"/>
      <c r="MBO73" s="800"/>
      <c r="MBP73" s="800"/>
      <c r="MBQ73" s="705"/>
      <c r="MBR73" s="799"/>
      <c r="MBS73" s="800"/>
      <c r="MBT73" s="800"/>
      <c r="MBU73" s="800"/>
      <c r="MBV73" s="800"/>
      <c r="MBW73" s="800"/>
      <c r="MBX73" s="705"/>
      <c r="MBY73" s="799"/>
      <c r="MBZ73" s="800"/>
      <c r="MCA73" s="800"/>
      <c r="MCB73" s="800"/>
      <c r="MCC73" s="800"/>
      <c r="MCD73" s="800"/>
      <c r="MCE73" s="705"/>
      <c r="MCF73" s="799"/>
      <c r="MCG73" s="800"/>
      <c r="MCH73" s="800"/>
      <c r="MCI73" s="800"/>
      <c r="MCJ73" s="800"/>
      <c r="MCK73" s="800"/>
      <c r="MCL73" s="705"/>
      <c r="MCM73" s="799"/>
      <c r="MCN73" s="800"/>
      <c r="MCO73" s="800"/>
      <c r="MCP73" s="800"/>
      <c r="MCQ73" s="800"/>
      <c r="MCR73" s="800"/>
      <c r="MCS73" s="705"/>
      <c r="MCT73" s="799"/>
      <c r="MCU73" s="800"/>
      <c r="MCV73" s="800"/>
      <c r="MCW73" s="800"/>
      <c r="MCX73" s="800"/>
      <c r="MCY73" s="800"/>
      <c r="MCZ73" s="705"/>
      <c r="MDA73" s="799"/>
      <c r="MDB73" s="800"/>
      <c r="MDC73" s="800"/>
      <c r="MDD73" s="800"/>
      <c r="MDE73" s="800"/>
      <c r="MDF73" s="800"/>
      <c r="MDG73" s="705"/>
      <c r="MDH73" s="799"/>
      <c r="MDI73" s="800"/>
      <c r="MDJ73" s="800"/>
      <c r="MDK73" s="800"/>
      <c r="MDL73" s="800"/>
      <c r="MDM73" s="800"/>
      <c r="MDN73" s="705"/>
      <c r="MDO73" s="799"/>
      <c r="MDP73" s="800"/>
      <c r="MDQ73" s="800"/>
      <c r="MDR73" s="800"/>
      <c r="MDS73" s="800"/>
      <c r="MDT73" s="800"/>
      <c r="MDU73" s="705"/>
      <c r="MDV73" s="799"/>
      <c r="MDW73" s="800"/>
      <c r="MDX73" s="800"/>
      <c r="MDY73" s="800"/>
      <c r="MDZ73" s="800"/>
      <c r="MEA73" s="800"/>
      <c r="MEB73" s="705"/>
      <c r="MEC73" s="799"/>
      <c r="MED73" s="800"/>
      <c r="MEE73" s="800"/>
      <c r="MEF73" s="800"/>
      <c r="MEG73" s="800"/>
      <c r="MEH73" s="800"/>
      <c r="MEI73" s="705"/>
      <c r="MEJ73" s="799"/>
      <c r="MEK73" s="800"/>
      <c r="MEL73" s="800"/>
      <c r="MEM73" s="800"/>
      <c r="MEN73" s="800"/>
      <c r="MEO73" s="800"/>
      <c r="MEP73" s="705"/>
      <c r="MEQ73" s="799"/>
      <c r="MER73" s="800"/>
      <c r="MES73" s="800"/>
      <c r="MET73" s="800"/>
      <c r="MEU73" s="800"/>
      <c r="MEV73" s="800"/>
      <c r="MEW73" s="705"/>
      <c r="MEX73" s="799"/>
      <c r="MEY73" s="800"/>
      <c r="MEZ73" s="800"/>
      <c r="MFA73" s="800"/>
      <c r="MFB73" s="800"/>
      <c r="MFC73" s="800"/>
      <c r="MFD73" s="705"/>
      <c r="MFE73" s="799"/>
      <c r="MFF73" s="800"/>
      <c r="MFG73" s="800"/>
      <c r="MFH73" s="800"/>
      <c r="MFI73" s="800"/>
      <c r="MFJ73" s="800"/>
      <c r="MFK73" s="705"/>
      <c r="MFL73" s="799"/>
      <c r="MFM73" s="800"/>
      <c r="MFN73" s="800"/>
      <c r="MFO73" s="800"/>
      <c r="MFP73" s="800"/>
      <c r="MFQ73" s="800"/>
      <c r="MFR73" s="705"/>
      <c r="MFS73" s="799"/>
      <c r="MFT73" s="800"/>
      <c r="MFU73" s="800"/>
      <c r="MFV73" s="800"/>
      <c r="MFW73" s="800"/>
      <c r="MFX73" s="800"/>
      <c r="MFY73" s="705"/>
      <c r="MFZ73" s="799"/>
      <c r="MGA73" s="800"/>
      <c r="MGB73" s="800"/>
      <c r="MGC73" s="800"/>
      <c r="MGD73" s="800"/>
      <c r="MGE73" s="800"/>
      <c r="MGF73" s="705"/>
      <c r="MGG73" s="799"/>
      <c r="MGH73" s="800"/>
      <c r="MGI73" s="800"/>
      <c r="MGJ73" s="800"/>
      <c r="MGK73" s="800"/>
      <c r="MGL73" s="800"/>
      <c r="MGM73" s="705"/>
      <c r="MGN73" s="799"/>
      <c r="MGO73" s="800"/>
      <c r="MGP73" s="800"/>
      <c r="MGQ73" s="800"/>
      <c r="MGR73" s="800"/>
      <c r="MGS73" s="800"/>
      <c r="MGT73" s="705"/>
      <c r="MGU73" s="799"/>
      <c r="MGV73" s="800"/>
      <c r="MGW73" s="800"/>
      <c r="MGX73" s="800"/>
      <c r="MGY73" s="800"/>
      <c r="MGZ73" s="800"/>
      <c r="MHA73" s="705"/>
      <c r="MHB73" s="799"/>
      <c r="MHC73" s="800"/>
      <c r="MHD73" s="800"/>
      <c r="MHE73" s="800"/>
      <c r="MHF73" s="800"/>
      <c r="MHG73" s="800"/>
      <c r="MHH73" s="705"/>
      <c r="MHI73" s="799"/>
      <c r="MHJ73" s="800"/>
      <c r="MHK73" s="800"/>
      <c r="MHL73" s="800"/>
      <c r="MHM73" s="800"/>
      <c r="MHN73" s="800"/>
      <c r="MHO73" s="705"/>
      <c r="MHP73" s="799"/>
      <c r="MHQ73" s="800"/>
      <c r="MHR73" s="800"/>
      <c r="MHS73" s="800"/>
      <c r="MHT73" s="800"/>
      <c r="MHU73" s="800"/>
      <c r="MHV73" s="705"/>
      <c r="MHW73" s="799"/>
      <c r="MHX73" s="800"/>
      <c r="MHY73" s="800"/>
      <c r="MHZ73" s="800"/>
      <c r="MIA73" s="800"/>
      <c r="MIB73" s="800"/>
      <c r="MIC73" s="705"/>
      <c r="MID73" s="799"/>
      <c r="MIE73" s="800"/>
      <c r="MIF73" s="800"/>
      <c r="MIG73" s="800"/>
      <c r="MIH73" s="800"/>
      <c r="MII73" s="800"/>
      <c r="MIJ73" s="705"/>
      <c r="MIK73" s="799"/>
      <c r="MIL73" s="800"/>
      <c r="MIM73" s="800"/>
      <c r="MIN73" s="800"/>
      <c r="MIO73" s="800"/>
      <c r="MIP73" s="800"/>
      <c r="MIQ73" s="705"/>
      <c r="MIR73" s="799"/>
      <c r="MIS73" s="800"/>
      <c r="MIT73" s="800"/>
      <c r="MIU73" s="800"/>
      <c r="MIV73" s="800"/>
      <c r="MIW73" s="800"/>
      <c r="MIX73" s="705"/>
      <c r="MIY73" s="799"/>
      <c r="MIZ73" s="800"/>
      <c r="MJA73" s="800"/>
      <c r="MJB73" s="800"/>
      <c r="MJC73" s="800"/>
      <c r="MJD73" s="800"/>
      <c r="MJE73" s="705"/>
      <c r="MJF73" s="799"/>
      <c r="MJG73" s="800"/>
      <c r="MJH73" s="800"/>
      <c r="MJI73" s="800"/>
      <c r="MJJ73" s="800"/>
      <c r="MJK73" s="800"/>
      <c r="MJL73" s="705"/>
      <c r="MJM73" s="799"/>
      <c r="MJN73" s="800"/>
      <c r="MJO73" s="800"/>
      <c r="MJP73" s="800"/>
      <c r="MJQ73" s="800"/>
      <c r="MJR73" s="800"/>
      <c r="MJS73" s="705"/>
      <c r="MJT73" s="799"/>
      <c r="MJU73" s="800"/>
      <c r="MJV73" s="800"/>
      <c r="MJW73" s="800"/>
      <c r="MJX73" s="800"/>
      <c r="MJY73" s="800"/>
      <c r="MJZ73" s="705"/>
      <c r="MKA73" s="799"/>
      <c r="MKB73" s="800"/>
      <c r="MKC73" s="800"/>
      <c r="MKD73" s="800"/>
      <c r="MKE73" s="800"/>
      <c r="MKF73" s="800"/>
      <c r="MKG73" s="705"/>
      <c r="MKH73" s="799"/>
      <c r="MKI73" s="800"/>
      <c r="MKJ73" s="800"/>
      <c r="MKK73" s="800"/>
      <c r="MKL73" s="800"/>
      <c r="MKM73" s="800"/>
      <c r="MKN73" s="705"/>
      <c r="MKO73" s="799"/>
      <c r="MKP73" s="800"/>
      <c r="MKQ73" s="800"/>
      <c r="MKR73" s="800"/>
      <c r="MKS73" s="800"/>
      <c r="MKT73" s="800"/>
      <c r="MKU73" s="705"/>
      <c r="MKV73" s="799"/>
      <c r="MKW73" s="800"/>
      <c r="MKX73" s="800"/>
      <c r="MKY73" s="800"/>
      <c r="MKZ73" s="800"/>
      <c r="MLA73" s="800"/>
      <c r="MLB73" s="705"/>
      <c r="MLC73" s="799"/>
      <c r="MLD73" s="800"/>
      <c r="MLE73" s="800"/>
      <c r="MLF73" s="800"/>
      <c r="MLG73" s="800"/>
      <c r="MLH73" s="800"/>
      <c r="MLI73" s="705"/>
      <c r="MLJ73" s="799"/>
      <c r="MLK73" s="800"/>
      <c r="MLL73" s="800"/>
      <c r="MLM73" s="800"/>
      <c r="MLN73" s="800"/>
      <c r="MLO73" s="800"/>
      <c r="MLP73" s="705"/>
      <c r="MLQ73" s="799"/>
      <c r="MLR73" s="800"/>
      <c r="MLS73" s="800"/>
      <c r="MLT73" s="800"/>
      <c r="MLU73" s="800"/>
      <c r="MLV73" s="800"/>
      <c r="MLW73" s="705"/>
      <c r="MLX73" s="799"/>
      <c r="MLY73" s="800"/>
      <c r="MLZ73" s="800"/>
      <c r="MMA73" s="800"/>
      <c r="MMB73" s="800"/>
      <c r="MMC73" s="800"/>
      <c r="MMD73" s="705"/>
      <c r="MME73" s="799"/>
      <c r="MMF73" s="800"/>
      <c r="MMG73" s="800"/>
      <c r="MMH73" s="800"/>
      <c r="MMI73" s="800"/>
      <c r="MMJ73" s="800"/>
      <c r="MMK73" s="705"/>
      <c r="MML73" s="799"/>
      <c r="MMM73" s="800"/>
      <c r="MMN73" s="800"/>
      <c r="MMO73" s="800"/>
      <c r="MMP73" s="800"/>
      <c r="MMQ73" s="800"/>
      <c r="MMR73" s="705"/>
      <c r="MMS73" s="799"/>
      <c r="MMT73" s="800"/>
      <c r="MMU73" s="800"/>
      <c r="MMV73" s="800"/>
      <c r="MMW73" s="800"/>
      <c r="MMX73" s="800"/>
      <c r="MMY73" s="705"/>
      <c r="MMZ73" s="799"/>
      <c r="MNA73" s="800"/>
      <c r="MNB73" s="800"/>
      <c r="MNC73" s="800"/>
      <c r="MND73" s="800"/>
      <c r="MNE73" s="800"/>
      <c r="MNF73" s="705"/>
      <c r="MNG73" s="799"/>
      <c r="MNH73" s="800"/>
      <c r="MNI73" s="800"/>
      <c r="MNJ73" s="800"/>
      <c r="MNK73" s="800"/>
      <c r="MNL73" s="800"/>
      <c r="MNM73" s="705"/>
      <c r="MNN73" s="799"/>
      <c r="MNO73" s="800"/>
      <c r="MNP73" s="800"/>
      <c r="MNQ73" s="800"/>
      <c r="MNR73" s="800"/>
      <c r="MNS73" s="800"/>
      <c r="MNT73" s="705"/>
      <c r="MNU73" s="799"/>
      <c r="MNV73" s="800"/>
      <c r="MNW73" s="800"/>
      <c r="MNX73" s="800"/>
      <c r="MNY73" s="800"/>
      <c r="MNZ73" s="800"/>
      <c r="MOA73" s="705"/>
      <c r="MOB73" s="799"/>
      <c r="MOC73" s="800"/>
      <c r="MOD73" s="800"/>
      <c r="MOE73" s="800"/>
      <c r="MOF73" s="800"/>
      <c r="MOG73" s="800"/>
      <c r="MOH73" s="705"/>
      <c r="MOI73" s="799"/>
      <c r="MOJ73" s="800"/>
      <c r="MOK73" s="800"/>
      <c r="MOL73" s="800"/>
      <c r="MOM73" s="800"/>
      <c r="MON73" s="800"/>
      <c r="MOO73" s="705"/>
      <c r="MOP73" s="799"/>
      <c r="MOQ73" s="800"/>
      <c r="MOR73" s="800"/>
      <c r="MOS73" s="800"/>
      <c r="MOT73" s="800"/>
      <c r="MOU73" s="800"/>
      <c r="MOV73" s="705"/>
      <c r="MOW73" s="799"/>
      <c r="MOX73" s="800"/>
      <c r="MOY73" s="800"/>
      <c r="MOZ73" s="800"/>
      <c r="MPA73" s="800"/>
      <c r="MPB73" s="800"/>
      <c r="MPC73" s="705"/>
      <c r="MPD73" s="799"/>
      <c r="MPE73" s="800"/>
      <c r="MPF73" s="800"/>
      <c r="MPG73" s="800"/>
      <c r="MPH73" s="800"/>
      <c r="MPI73" s="800"/>
      <c r="MPJ73" s="705"/>
      <c r="MPK73" s="799"/>
      <c r="MPL73" s="800"/>
      <c r="MPM73" s="800"/>
      <c r="MPN73" s="800"/>
      <c r="MPO73" s="800"/>
      <c r="MPP73" s="800"/>
      <c r="MPQ73" s="705"/>
      <c r="MPR73" s="799"/>
      <c r="MPS73" s="800"/>
      <c r="MPT73" s="800"/>
      <c r="MPU73" s="800"/>
      <c r="MPV73" s="800"/>
      <c r="MPW73" s="800"/>
      <c r="MPX73" s="705"/>
      <c r="MPY73" s="799"/>
      <c r="MPZ73" s="800"/>
      <c r="MQA73" s="800"/>
      <c r="MQB73" s="800"/>
      <c r="MQC73" s="800"/>
      <c r="MQD73" s="800"/>
      <c r="MQE73" s="705"/>
      <c r="MQF73" s="799"/>
      <c r="MQG73" s="800"/>
      <c r="MQH73" s="800"/>
      <c r="MQI73" s="800"/>
      <c r="MQJ73" s="800"/>
      <c r="MQK73" s="800"/>
      <c r="MQL73" s="705"/>
      <c r="MQM73" s="799"/>
      <c r="MQN73" s="800"/>
      <c r="MQO73" s="800"/>
      <c r="MQP73" s="800"/>
      <c r="MQQ73" s="800"/>
      <c r="MQR73" s="800"/>
      <c r="MQS73" s="705"/>
      <c r="MQT73" s="799"/>
      <c r="MQU73" s="800"/>
      <c r="MQV73" s="800"/>
      <c r="MQW73" s="800"/>
      <c r="MQX73" s="800"/>
      <c r="MQY73" s="800"/>
      <c r="MQZ73" s="705"/>
      <c r="MRA73" s="799"/>
      <c r="MRB73" s="800"/>
      <c r="MRC73" s="800"/>
      <c r="MRD73" s="800"/>
      <c r="MRE73" s="800"/>
      <c r="MRF73" s="800"/>
      <c r="MRG73" s="705"/>
      <c r="MRH73" s="799"/>
      <c r="MRI73" s="800"/>
      <c r="MRJ73" s="800"/>
      <c r="MRK73" s="800"/>
      <c r="MRL73" s="800"/>
      <c r="MRM73" s="800"/>
      <c r="MRN73" s="705"/>
      <c r="MRO73" s="799"/>
      <c r="MRP73" s="800"/>
      <c r="MRQ73" s="800"/>
      <c r="MRR73" s="800"/>
      <c r="MRS73" s="800"/>
      <c r="MRT73" s="800"/>
      <c r="MRU73" s="705"/>
      <c r="MRV73" s="799"/>
      <c r="MRW73" s="800"/>
      <c r="MRX73" s="800"/>
      <c r="MRY73" s="800"/>
      <c r="MRZ73" s="800"/>
      <c r="MSA73" s="800"/>
      <c r="MSB73" s="705"/>
      <c r="MSC73" s="799"/>
      <c r="MSD73" s="800"/>
      <c r="MSE73" s="800"/>
      <c r="MSF73" s="800"/>
      <c r="MSG73" s="800"/>
      <c r="MSH73" s="800"/>
      <c r="MSI73" s="705"/>
      <c r="MSJ73" s="799"/>
      <c r="MSK73" s="800"/>
      <c r="MSL73" s="800"/>
      <c r="MSM73" s="800"/>
      <c r="MSN73" s="800"/>
      <c r="MSO73" s="800"/>
      <c r="MSP73" s="705"/>
      <c r="MSQ73" s="799"/>
      <c r="MSR73" s="800"/>
      <c r="MSS73" s="800"/>
      <c r="MST73" s="800"/>
      <c r="MSU73" s="800"/>
      <c r="MSV73" s="800"/>
      <c r="MSW73" s="705"/>
      <c r="MSX73" s="799"/>
      <c r="MSY73" s="800"/>
      <c r="MSZ73" s="800"/>
      <c r="MTA73" s="800"/>
      <c r="MTB73" s="800"/>
      <c r="MTC73" s="800"/>
      <c r="MTD73" s="705"/>
      <c r="MTE73" s="799"/>
      <c r="MTF73" s="800"/>
      <c r="MTG73" s="800"/>
      <c r="MTH73" s="800"/>
      <c r="MTI73" s="800"/>
      <c r="MTJ73" s="800"/>
      <c r="MTK73" s="705"/>
      <c r="MTL73" s="799"/>
      <c r="MTM73" s="800"/>
      <c r="MTN73" s="800"/>
      <c r="MTO73" s="800"/>
      <c r="MTP73" s="800"/>
      <c r="MTQ73" s="800"/>
      <c r="MTR73" s="705"/>
      <c r="MTS73" s="799"/>
      <c r="MTT73" s="800"/>
      <c r="MTU73" s="800"/>
      <c r="MTV73" s="800"/>
      <c r="MTW73" s="800"/>
      <c r="MTX73" s="800"/>
      <c r="MTY73" s="705"/>
      <c r="MTZ73" s="799"/>
      <c r="MUA73" s="800"/>
      <c r="MUB73" s="800"/>
      <c r="MUC73" s="800"/>
      <c r="MUD73" s="800"/>
      <c r="MUE73" s="800"/>
      <c r="MUF73" s="705"/>
      <c r="MUG73" s="799"/>
      <c r="MUH73" s="800"/>
      <c r="MUI73" s="800"/>
      <c r="MUJ73" s="800"/>
      <c r="MUK73" s="800"/>
      <c r="MUL73" s="800"/>
      <c r="MUM73" s="705"/>
      <c r="MUN73" s="799"/>
      <c r="MUO73" s="800"/>
      <c r="MUP73" s="800"/>
      <c r="MUQ73" s="800"/>
      <c r="MUR73" s="800"/>
      <c r="MUS73" s="800"/>
      <c r="MUT73" s="705"/>
      <c r="MUU73" s="799"/>
      <c r="MUV73" s="800"/>
      <c r="MUW73" s="800"/>
      <c r="MUX73" s="800"/>
      <c r="MUY73" s="800"/>
      <c r="MUZ73" s="800"/>
      <c r="MVA73" s="705"/>
      <c r="MVB73" s="799"/>
      <c r="MVC73" s="800"/>
      <c r="MVD73" s="800"/>
      <c r="MVE73" s="800"/>
      <c r="MVF73" s="800"/>
      <c r="MVG73" s="800"/>
      <c r="MVH73" s="705"/>
      <c r="MVI73" s="799"/>
      <c r="MVJ73" s="800"/>
      <c r="MVK73" s="800"/>
      <c r="MVL73" s="800"/>
      <c r="MVM73" s="800"/>
      <c r="MVN73" s="800"/>
      <c r="MVO73" s="705"/>
      <c r="MVP73" s="799"/>
      <c r="MVQ73" s="800"/>
      <c r="MVR73" s="800"/>
      <c r="MVS73" s="800"/>
      <c r="MVT73" s="800"/>
      <c r="MVU73" s="800"/>
      <c r="MVV73" s="705"/>
      <c r="MVW73" s="799"/>
      <c r="MVX73" s="800"/>
      <c r="MVY73" s="800"/>
      <c r="MVZ73" s="800"/>
      <c r="MWA73" s="800"/>
      <c r="MWB73" s="800"/>
      <c r="MWC73" s="705"/>
      <c r="MWD73" s="799"/>
      <c r="MWE73" s="800"/>
      <c r="MWF73" s="800"/>
      <c r="MWG73" s="800"/>
      <c r="MWH73" s="800"/>
      <c r="MWI73" s="800"/>
      <c r="MWJ73" s="705"/>
      <c r="MWK73" s="799"/>
      <c r="MWL73" s="800"/>
      <c r="MWM73" s="800"/>
      <c r="MWN73" s="800"/>
      <c r="MWO73" s="800"/>
      <c r="MWP73" s="800"/>
      <c r="MWQ73" s="705"/>
      <c r="MWR73" s="799"/>
      <c r="MWS73" s="800"/>
      <c r="MWT73" s="800"/>
      <c r="MWU73" s="800"/>
      <c r="MWV73" s="800"/>
      <c r="MWW73" s="800"/>
      <c r="MWX73" s="705"/>
      <c r="MWY73" s="799"/>
      <c r="MWZ73" s="800"/>
      <c r="MXA73" s="800"/>
      <c r="MXB73" s="800"/>
      <c r="MXC73" s="800"/>
      <c r="MXD73" s="800"/>
      <c r="MXE73" s="705"/>
      <c r="MXF73" s="799"/>
      <c r="MXG73" s="800"/>
      <c r="MXH73" s="800"/>
      <c r="MXI73" s="800"/>
      <c r="MXJ73" s="800"/>
      <c r="MXK73" s="800"/>
      <c r="MXL73" s="705"/>
      <c r="MXM73" s="799"/>
      <c r="MXN73" s="800"/>
      <c r="MXO73" s="800"/>
      <c r="MXP73" s="800"/>
      <c r="MXQ73" s="800"/>
      <c r="MXR73" s="800"/>
      <c r="MXS73" s="705"/>
      <c r="MXT73" s="799"/>
      <c r="MXU73" s="800"/>
      <c r="MXV73" s="800"/>
      <c r="MXW73" s="800"/>
      <c r="MXX73" s="800"/>
      <c r="MXY73" s="800"/>
      <c r="MXZ73" s="705"/>
      <c r="MYA73" s="799"/>
      <c r="MYB73" s="800"/>
      <c r="MYC73" s="800"/>
      <c r="MYD73" s="800"/>
      <c r="MYE73" s="800"/>
      <c r="MYF73" s="800"/>
      <c r="MYG73" s="705"/>
      <c r="MYH73" s="799"/>
      <c r="MYI73" s="800"/>
      <c r="MYJ73" s="800"/>
      <c r="MYK73" s="800"/>
      <c r="MYL73" s="800"/>
      <c r="MYM73" s="800"/>
      <c r="MYN73" s="705"/>
      <c r="MYO73" s="799"/>
      <c r="MYP73" s="800"/>
      <c r="MYQ73" s="800"/>
      <c r="MYR73" s="800"/>
      <c r="MYS73" s="800"/>
      <c r="MYT73" s="800"/>
      <c r="MYU73" s="705"/>
      <c r="MYV73" s="799"/>
      <c r="MYW73" s="800"/>
      <c r="MYX73" s="800"/>
      <c r="MYY73" s="800"/>
      <c r="MYZ73" s="800"/>
      <c r="MZA73" s="800"/>
      <c r="MZB73" s="705"/>
      <c r="MZC73" s="799"/>
      <c r="MZD73" s="800"/>
      <c r="MZE73" s="800"/>
      <c r="MZF73" s="800"/>
      <c r="MZG73" s="800"/>
      <c r="MZH73" s="800"/>
      <c r="MZI73" s="705"/>
      <c r="MZJ73" s="799"/>
      <c r="MZK73" s="800"/>
      <c r="MZL73" s="800"/>
      <c r="MZM73" s="800"/>
      <c r="MZN73" s="800"/>
      <c r="MZO73" s="800"/>
      <c r="MZP73" s="705"/>
      <c r="MZQ73" s="799"/>
      <c r="MZR73" s="800"/>
      <c r="MZS73" s="800"/>
      <c r="MZT73" s="800"/>
      <c r="MZU73" s="800"/>
      <c r="MZV73" s="800"/>
      <c r="MZW73" s="705"/>
      <c r="MZX73" s="799"/>
      <c r="MZY73" s="800"/>
      <c r="MZZ73" s="800"/>
      <c r="NAA73" s="800"/>
      <c r="NAB73" s="800"/>
      <c r="NAC73" s="800"/>
      <c r="NAD73" s="705"/>
      <c r="NAE73" s="799"/>
      <c r="NAF73" s="800"/>
      <c r="NAG73" s="800"/>
      <c r="NAH73" s="800"/>
      <c r="NAI73" s="800"/>
      <c r="NAJ73" s="800"/>
      <c r="NAK73" s="705"/>
      <c r="NAL73" s="799"/>
      <c r="NAM73" s="800"/>
      <c r="NAN73" s="800"/>
      <c r="NAO73" s="800"/>
      <c r="NAP73" s="800"/>
      <c r="NAQ73" s="800"/>
      <c r="NAR73" s="705"/>
      <c r="NAS73" s="799"/>
      <c r="NAT73" s="800"/>
      <c r="NAU73" s="800"/>
      <c r="NAV73" s="800"/>
      <c r="NAW73" s="800"/>
      <c r="NAX73" s="800"/>
      <c r="NAY73" s="705"/>
      <c r="NAZ73" s="799"/>
      <c r="NBA73" s="800"/>
      <c r="NBB73" s="800"/>
      <c r="NBC73" s="800"/>
      <c r="NBD73" s="800"/>
      <c r="NBE73" s="800"/>
      <c r="NBF73" s="705"/>
      <c r="NBG73" s="799"/>
      <c r="NBH73" s="800"/>
      <c r="NBI73" s="800"/>
      <c r="NBJ73" s="800"/>
      <c r="NBK73" s="800"/>
      <c r="NBL73" s="800"/>
      <c r="NBM73" s="705"/>
      <c r="NBN73" s="799"/>
      <c r="NBO73" s="800"/>
      <c r="NBP73" s="800"/>
      <c r="NBQ73" s="800"/>
      <c r="NBR73" s="800"/>
      <c r="NBS73" s="800"/>
      <c r="NBT73" s="705"/>
      <c r="NBU73" s="799"/>
      <c r="NBV73" s="800"/>
      <c r="NBW73" s="800"/>
      <c r="NBX73" s="800"/>
      <c r="NBY73" s="800"/>
      <c r="NBZ73" s="800"/>
      <c r="NCA73" s="705"/>
      <c r="NCB73" s="799"/>
      <c r="NCC73" s="800"/>
      <c r="NCD73" s="800"/>
      <c r="NCE73" s="800"/>
      <c r="NCF73" s="800"/>
      <c r="NCG73" s="800"/>
      <c r="NCH73" s="705"/>
      <c r="NCI73" s="799"/>
      <c r="NCJ73" s="800"/>
      <c r="NCK73" s="800"/>
      <c r="NCL73" s="800"/>
      <c r="NCM73" s="800"/>
      <c r="NCN73" s="800"/>
      <c r="NCO73" s="705"/>
      <c r="NCP73" s="799"/>
      <c r="NCQ73" s="800"/>
      <c r="NCR73" s="800"/>
      <c r="NCS73" s="800"/>
      <c r="NCT73" s="800"/>
      <c r="NCU73" s="800"/>
      <c r="NCV73" s="705"/>
      <c r="NCW73" s="799"/>
      <c r="NCX73" s="800"/>
      <c r="NCY73" s="800"/>
      <c r="NCZ73" s="800"/>
      <c r="NDA73" s="800"/>
      <c r="NDB73" s="800"/>
      <c r="NDC73" s="705"/>
      <c r="NDD73" s="799"/>
      <c r="NDE73" s="800"/>
      <c r="NDF73" s="800"/>
      <c r="NDG73" s="800"/>
      <c r="NDH73" s="800"/>
      <c r="NDI73" s="800"/>
      <c r="NDJ73" s="705"/>
      <c r="NDK73" s="799"/>
      <c r="NDL73" s="800"/>
      <c r="NDM73" s="800"/>
      <c r="NDN73" s="800"/>
      <c r="NDO73" s="800"/>
      <c r="NDP73" s="800"/>
      <c r="NDQ73" s="705"/>
      <c r="NDR73" s="799"/>
      <c r="NDS73" s="800"/>
      <c r="NDT73" s="800"/>
      <c r="NDU73" s="800"/>
      <c r="NDV73" s="800"/>
      <c r="NDW73" s="800"/>
      <c r="NDX73" s="705"/>
      <c r="NDY73" s="799"/>
      <c r="NDZ73" s="800"/>
      <c r="NEA73" s="800"/>
      <c r="NEB73" s="800"/>
      <c r="NEC73" s="800"/>
      <c r="NED73" s="800"/>
      <c r="NEE73" s="705"/>
      <c r="NEF73" s="799"/>
      <c r="NEG73" s="800"/>
      <c r="NEH73" s="800"/>
      <c r="NEI73" s="800"/>
      <c r="NEJ73" s="800"/>
      <c r="NEK73" s="800"/>
      <c r="NEL73" s="705"/>
      <c r="NEM73" s="799"/>
      <c r="NEN73" s="800"/>
      <c r="NEO73" s="800"/>
      <c r="NEP73" s="800"/>
      <c r="NEQ73" s="800"/>
      <c r="NER73" s="800"/>
      <c r="NES73" s="705"/>
      <c r="NET73" s="799"/>
      <c r="NEU73" s="800"/>
      <c r="NEV73" s="800"/>
      <c r="NEW73" s="800"/>
      <c r="NEX73" s="800"/>
      <c r="NEY73" s="800"/>
      <c r="NEZ73" s="705"/>
      <c r="NFA73" s="799"/>
      <c r="NFB73" s="800"/>
      <c r="NFC73" s="800"/>
      <c r="NFD73" s="800"/>
      <c r="NFE73" s="800"/>
      <c r="NFF73" s="800"/>
      <c r="NFG73" s="705"/>
      <c r="NFH73" s="799"/>
      <c r="NFI73" s="800"/>
      <c r="NFJ73" s="800"/>
      <c r="NFK73" s="800"/>
      <c r="NFL73" s="800"/>
      <c r="NFM73" s="800"/>
      <c r="NFN73" s="705"/>
      <c r="NFO73" s="799"/>
      <c r="NFP73" s="800"/>
      <c r="NFQ73" s="800"/>
      <c r="NFR73" s="800"/>
      <c r="NFS73" s="800"/>
      <c r="NFT73" s="800"/>
      <c r="NFU73" s="705"/>
      <c r="NFV73" s="799"/>
      <c r="NFW73" s="800"/>
      <c r="NFX73" s="800"/>
      <c r="NFY73" s="800"/>
      <c r="NFZ73" s="800"/>
      <c r="NGA73" s="800"/>
      <c r="NGB73" s="705"/>
      <c r="NGC73" s="799"/>
      <c r="NGD73" s="800"/>
      <c r="NGE73" s="800"/>
      <c r="NGF73" s="800"/>
      <c r="NGG73" s="800"/>
      <c r="NGH73" s="800"/>
      <c r="NGI73" s="705"/>
      <c r="NGJ73" s="799"/>
      <c r="NGK73" s="800"/>
      <c r="NGL73" s="800"/>
      <c r="NGM73" s="800"/>
      <c r="NGN73" s="800"/>
      <c r="NGO73" s="800"/>
      <c r="NGP73" s="705"/>
      <c r="NGQ73" s="799"/>
      <c r="NGR73" s="800"/>
      <c r="NGS73" s="800"/>
      <c r="NGT73" s="800"/>
      <c r="NGU73" s="800"/>
      <c r="NGV73" s="800"/>
      <c r="NGW73" s="705"/>
      <c r="NGX73" s="799"/>
      <c r="NGY73" s="800"/>
      <c r="NGZ73" s="800"/>
      <c r="NHA73" s="800"/>
      <c r="NHB73" s="800"/>
      <c r="NHC73" s="800"/>
      <c r="NHD73" s="705"/>
      <c r="NHE73" s="799"/>
      <c r="NHF73" s="800"/>
      <c r="NHG73" s="800"/>
      <c r="NHH73" s="800"/>
      <c r="NHI73" s="800"/>
      <c r="NHJ73" s="800"/>
      <c r="NHK73" s="705"/>
      <c r="NHL73" s="799"/>
      <c r="NHM73" s="800"/>
      <c r="NHN73" s="800"/>
      <c r="NHO73" s="800"/>
      <c r="NHP73" s="800"/>
      <c r="NHQ73" s="800"/>
      <c r="NHR73" s="705"/>
      <c r="NHS73" s="799"/>
      <c r="NHT73" s="800"/>
      <c r="NHU73" s="800"/>
      <c r="NHV73" s="800"/>
      <c r="NHW73" s="800"/>
      <c r="NHX73" s="800"/>
      <c r="NHY73" s="705"/>
      <c r="NHZ73" s="799"/>
      <c r="NIA73" s="800"/>
      <c r="NIB73" s="800"/>
      <c r="NIC73" s="800"/>
      <c r="NID73" s="800"/>
      <c r="NIE73" s="800"/>
      <c r="NIF73" s="705"/>
      <c r="NIG73" s="799"/>
      <c r="NIH73" s="800"/>
      <c r="NII73" s="800"/>
      <c r="NIJ73" s="800"/>
      <c r="NIK73" s="800"/>
      <c r="NIL73" s="800"/>
      <c r="NIM73" s="705"/>
      <c r="NIN73" s="799"/>
      <c r="NIO73" s="800"/>
      <c r="NIP73" s="800"/>
      <c r="NIQ73" s="800"/>
      <c r="NIR73" s="800"/>
      <c r="NIS73" s="800"/>
      <c r="NIT73" s="705"/>
      <c r="NIU73" s="799"/>
      <c r="NIV73" s="800"/>
      <c r="NIW73" s="800"/>
      <c r="NIX73" s="800"/>
      <c r="NIY73" s="800"/>
      <c r="NIZ73" s="800"/>
      <c r="NJA73" s="705"/>
      <c r="NJB73" s="799"/>
      <c r="NJC73" s="800"/>
      <c r="NJD73" s="800"/>
      <c r="NJE73" s="800"/>
      <c r="NJF73" s="800"/>
      <c r="NJG73" s="800"/>
      <c r="NJH73" s="705"/>
      <c r="NJI73" s="799"/>
      <c r="NJJ73" s="800"/>
      <c r="NJK73" s="800"/>
      <c r="NJL73" s="800"/>
      <c r="NJM73" s="800"/>
      <c r="NJN73" s="800"/>
      <c r="NJO73" s="705"/>
      <c r="NJP73" s="799"/>
      <c r="NJQ73" s="800"/>
      <c r="NJR73" s="800"/>
      <c r="NJS73" s="800"/>
      <c r="NJT73" s="800"/>
      <c r="NJU73" s="800"/>
      <c r="NJV73" s="705"/>
      <c r="NJW73" s="799"/>
      <c r="NJX73" s="800"/>
      <c r="NJY73" s="800"/>
      <c r="NJZ73" s="800"/>
      <c r="NKA73" s="800"/>
      <c r="NKB73" s="800"/>
      <c r="NKC73" s="705"/>
      <c r="NKD73" s="799"/>
      <c r="NKE73" s="800"/>
      <c r="NKF73" s="800"/>
      <c r="NKG73" s="800"/>
      <c r="NKH73" s="800"/>
      <c r="NKI73" s="800"/>
      <c r="NKJ73" s="705"/>
      <c r="NKK73" s="799"/>
      <c r="NKL73" s="800"/>
      <c r="NKM73" s="800"/>
      <c r="NKN73" s="800"/>
      <c r="NKO73" s="800"/>
      <c r="NKP73" s="800"/>
      <c r="NKQ73" s="705"/>
      <c r="NKR73" s="799"/>
      <c r="NKS73" s="800"/>
      <c r="NKT73" s="800"/>
      <c r="NKU73" s="800"/>
      <c r="NKV73" s="800"/>
      <c r="NKW73" s="800"/>
      <c r="NKX73" s="705"/>
      <c r="NKY73" s="799"/>
      <c r="NKZ73" s="800"/>
      <c r="NLA73" s="800"/>
      <c r="NLB73" s="800"/>
      <c r="NLC73" s="800"/>
      <c r="NLD73" s="800"/>
      <c r="NLE73" s="705"/>
      <c r="NLF73" s="799"/>
      <c r="NLG73" s="800"/>
      <c r="NLH73" s="800"/>
      <c r="NLI73" s="800"/>
      <c r="NLJ73" s="800"/>
      <c r="NLK73" s="800"/>
      <c r="NLL73" s="705"/>
      <c r="NLM73" s="799"/>
      <c r="NLN73" s="800"/>
      <c r="NLO73" s="800"/>
      <c r="NLP73" s="800"/>
      <c r="NLQ73" s="800"/>
      <c r="NLR73" s="800"/>
      <c r="NLS73" s="705"/>
      <c r="NLT73" s="799"/>
      <c r="NLU73" s="800"/>
      <c r="NLV73" s="800"/>
      <c r="NLW73" s="800"/>
      <c r="NLX73" s="800"/>
      <c r="NLY73" s="800"/>
      <c r="NLZ73" s="705"/>
      <c r="NMA73" s="799"/>
      <c r="NMB73" s="800"/>
      <c r="NMC73" s="800"/>
      <c r="NMD73" s="800"/>
      <c r="NME73" s="800"/>
      <c r="NMF73" s="800"/>
      <c r="NMG73" s="705"/>
      <c r="NMH73" s="799"/>
      <c r="NMI73" s="800"/>
      <c r="NMJ73" s="800"/>
      <c r="NMK73" s="800"/>
      <c r="NML73" s="800"/>
      <c r="NMM73" s="800"/>
      <c r="NMN73" s="705"/>
      <c r="NMO73" s="799"/>
      <c r="NMP73" s="800"/>
      <c r="NMQ73" s="800"/>
      <c r="NMR73" s="800"/>
      <c r="NMS73" s="800"/>
      <c r="NMT73" s="800"/>
      <c r="NMU73" s="705"/>
      <c r="NMV73" s="799"/>
      <c r="NMW73" s="800"/>
      <c r="NMX73" s="800"/>
      <c r="NMY73" s="800"/>
      <c r="NMZ73" s="800"/>
      <c r="NNA73" s="800"/>
      <c r="NNB73" s="705"/>
      <c r="NNC73" s="799"/>
      <c r="NND73" s="800"/>
      <c r="NNE73" s="800"/>
      <c r="NNF73" s="800"/>
      <c r="NNG73" s="800"/>
      <c r="NNH73" s="800"/>
      <c r="NNI73" s="705"/>
      <c r="NNJ73" s="799"/>
      <c r="NNK73" s="800"/>
      <c r="NNL73" s="800"/>
      <c r="NNM73" s="800"/>
      <c r="NNN73" s="800"/>
      <c r="NNO73" s="800"/>
      <c r="NNP73" s="705"/>
      <c r="NNQ73" s="799"/>
      <c r="NNR73" s="800"/>
      <c r="NNS73" s="800"/>
      <c r="NNT73" s="800"/>
      <c r="NNU73" s="800"/>
      <c r="NNV73" s="800"/>
      <c r="NNW73" s="705"/>
      <c r="NNX73" s="799"/>
      <c r="NNY73" s="800"/>
      <c r="NNZ73" s="800"/>
      <c r="NOA73" s="800"/>
      <c r="NOB73" s="800"/>
      <c r="NOC73" s="800"/>
      <c r="NOD73" s="705"/>
      <c r="NOE73" s="799"/>
      <c r="NOF73" s="800"/>
      <c r="NOG73" s="800"/>
      <c r="NOH73" s="800"/>
      <c r="NOI73" s="800"/>
      <c r="NOJ73" s="800"/>
      <c r="NOK73" s="705"/>
      <c r="NOL73" s="799"/>
      <c r="NOM73" s="800"/>
      <c r="NON73" s="800"/>
      <c r="NOO73" s="800"/>
      <c r="NOP73" s="800"/>
      <c r="NOQ73" s="800"/>
      <c r="NOR73" s="705"/>
      <c r="NOS73" s="799"/>
      <c r="NOT73" s="800"/>
      <c r="NOU73" s="800"/>
      <c r="NOV73" s="800"/>
      <c r="NOW73" s="800"/>
      <c r="NOX73" s="800"/>
      <c r="NOY73" s="705"/>
      <c r="NOZ73" s="799"/>
      <c r="NPA73" s="800"/>
      <c r="NPB73" s="800"/>
      <c r="NPC73" s="800"/>
      <c r="NPD73" s="800"/>
      <c r="NPE73" s="800"/>
      <c r="NPF73" s="705"/>
      <c r="NPG73" s="799"/>
      <c r="NPH73" s="800"/>
      <c r="NPI73" s="800"/>
      <c r="NPJ73" s="800"/>
      <c r="NPK73" s="800"/>
      <c r="NPL73" s="800"/>
      <c r="NPM73" s="705"/>
      <c r="NPN73" s="799"/>
      <c r="NPO73" s="800"/>
      <c r="NPP73" s="800"/>
      <c r="NPQ73" s="800"/>
      <c r="NPR73" s="800"/>
      <c r="NPS73" s="800"/>
      <c r="NPT73" s="705"/>
      <c r="NPU73" s="799"/>
      <c r="NPV73" s="800"/>
      <c r="NPW73" s="800"/>
      <c r="NPX73" s="800"/>
      <c r="NPY73" s="800"/>
      <c r="NPZ73" s="800"/>
      <c r="NQA73" s="705"/>
      <c r="NQB73" s="799"/>
      <c r="NQC73" s="800"/>
      <c r="NQD73" s="800"/>
      <c r="NQE73" s="800"/>
      <c r="NQF73" s="800"/>
      <c r="NQG73" s="800"/>
      <c r="NQH73" s="705"/>
      <c r="NQI73" s="799"/>
      <c r="NQJ73" s="800"/>
      <c r="NQK73" s="800"/>
      <c r="NQL73" s="800"/>
      <c r="NQM73" s="800"/>
      <c r="NQN73" s="800"/>
      <c r="NQO73" s="705"/>
      <c r="NQP73" s="799"/>
      <c r="NQQ73" s="800"/>
      <c r="NQR73" s="800"/>
      <c r="NQS73" s="800"/>
      <c r="NQT73" s="800"/>
      <c r="NQU73" s="800"/>
      <c r="NQV73" s="705"/>
      <c r="NQW73" s="799"/>
      <c r="NQX73" s="800"/>
      <c r="NQY73" s="800"/>
      <c r="NQZ73" s="800"/>
      <c r="NRA73" s="800"/>
      <c r="NRB73" s="800"/>
      <c r="NRC73" s="705"/>
      <c r="NRD73" s="799"/>
      <c r="NRE73" s="800"/>
      <c r="NRF73" s="800"/>
      <c r="NRG73" s="800"/>
      <c r="NRH73" s="800"/>
      <c r="NRI73" s="800"/>
      <c r="NRJ73" s="705"/>
      <c r="NRK73" s="799"/>
      <c r="NRL73" s="800"/>
      <c r="NRM73" s="800"/>
      <c r="NRN73" s="800"/>
      <c r="NRO73" s="800"/>
      <c r="NRP73" s="800"/>
      <c r="NRQ73" s="705"/>
      <c r="NRR73" s="799"/>
      <c r="NRS73" s="800"/>
      <c r="NRT73" s="800"/>
      <c r="NRU73" s="800"/>
      <c r="NRV73" s="800"/>
      <c r="NRW73" s="800"/>
      <c r="NRX73" s="705"/>
      <c r="NRY73" s="799"/>
      <c r="NRZ73" s="800"/>
      <c r="NSA73" s="800"/>
      <c r="NSB73" s="800"/>
      <c r="NSC73" s="800"/>
      <c r="NSD73" s="800"/>
      <c r="NSE73" s="705"/>
      <c r="NSF73" s="799"/>
      <c r="NSG73" s="800"/>
      <c r="NSH73" s="800"/>
      <c r="NSI73" s="800"/>
      <c r="NSJ73" s="800"/>
      <c r="NSK73" s="800"/>
      <c r="NSL73" s="705"/>
      <c r="NSM73" s="799"/>
      <c r="NSN73" s="800"/>
      <c r="NSO73" s="800"/>
      <c r="NSP73" s="800"/>
      <c r="NSQ73" s="800"/>
      <c r="NSR73" s="800"/>
      <c r="NSS73" s="705"/>
      <c r="NST73" s="799"/>
      <c r="NSU73" s="800"/>
      <c r="NSV73" s="800"/>
      <c r="NSW73" s="800"/>
      <c r="NSX73" s="800"/>
      <c r="NSY73" s="800"/>
      <c r="NSZ73" s="705"/>
      <c r="NTA73" s="799"/>
      <c r="NTB73" s="800"/>
      <c r="NTC73" s="800"/>
      <c r="NTD73" s="800"/>
      <c r="NTE73" s="800"/>
      <c r="NTF73" s="800"/>
      <c r="NTG73" s="705"/>
      <c r="NTH73" s="799"/>
      <c r="NTI73" s="800"/>
      <c r="NTJ73" s="800"/>
      <c r="NTK73" s="800"/>
      <c r="NTL73" s="800"/>
      <c r="NTM73" s="800"/>
      <c r="NTN73" s="705"/>
      <c r="NTO73" s="799"/>
      <c r="NTP73" s="800"/>
      <c r="NTQ73" s="800"/>
      <c r="NTR73" s="800"/>
      <c r="NTS73" s="800"/>
      <c r="NTT73" s="800"/>
      <c r="NTU73" s="705"/>
      <c r="NTV73" s="799"/>
      <c r="NTW73" s="800"/>
      <c r="NTX73" s="800"/>
      <c r="NTY73" s="800"/>
      <c r="NTZ73" s="800"/>
      <c r="NUA73" s="800"/>
      <c r="NUB73" s="705"/>
      <c r="NUC73" s="799"/>
      <c r="NUD73" s="800"/>
      <c r="NUE73" s="800"/>
      <c r="NUF73" s="800"/>
      <c r="NUG73" s="800"/>
      <c r="NUH73" s="800"/>
      <c r="NUI73" s="705"/>
      <c r="NUJ73" s="799"/>
      <c r="NUK73" s="800"/>
      <c r="NUL73" s="800"/>
      <c r="NUM73" s="800"/>
      <c r="NUN73" s="800"/>
      <c r="NUO73" s="800"/>
      <c r="NUP73" s="705"/>
      <c r="NUQ73" s="799"/>
      <c r="NUR73" s="800"/>
      <c r="NUS73" s="800"/>
      <c r="NUT73" s="800"/>
      <c r="NUU73" s="800"/>
      <c r="NUV73" s="800"/>
      <c r="NUW73" s="705"/>
      <c r="NUX73" s="799"/>
      <c r="NUY73" s="800"/>
      <c r="NUZ73" s="800"/>
      <c r="NVA73" s="800"/>
      <c r="NVB73" s="800"/>
      <c r="NVC73" s="800"/>
      <c r="NVD73" s="705"/>
      <c r="NVE73" s="799"/>
      <c r="NVF73" s="800"/>
      <c r="NVG73" s="800"/>
      <c r="NVH73" s="800"/>
      <c r="NVI73" s="800"/>
      <c r="NVJ73" s="800"/>
      <c r="NVK73" s="705"/>
      <c r="NVL73" s="799"/>
      <c r="NVM73" s="800"/>
      <c r="NVN73" s="800"/>
      <c r="NVO73" s="800"/>
      <c r="NVP73" s="800"/>
      <c r="NVQ73" s="800"/>
      <c r="NVR73" s="705"/>
      <c r="NVS73" s="799"/>
      <c r="NVT73" s="800"/>
      <c r="NVU73" s="800"/>
      <c r="NVV73" s="800"/>
      <c r="NVW73" s="800"/>
      <c r="NVX73" s="800"/>
      <c r="NVY73" s="705"/>
      <c r="NVZ73" s="799"/>
      <c r="NWA73" s="800"/>
      <c r="NWB73" s="800"/>
      <c r="NWC73" s="800"/>
      <c r="NWD73" s="800"/>
      <c r="NWE73" s="800"/>
      <c r="NWF73" s="705"/>
      <c r="NWG73" s="799"/>
      <c r="NWH73" s="800"/>
      <c r="NWI73" s="800"/>
      <c r="NWJ73" s="800"/>
      <c r="NWK73" s="800"/>
      <c r="NWL73" s="800"/>
      <c r="NWM73" s="705"/>
      <c r="NWN73" s="799"/>
      <c r="NWO73" s="800"/>
      <c r="NWP73" s="800"/>
      <c r="NWQ73" s="800"/>
      <c r="NWR73" s="800"/>
      <c r="NWS73" s="800"/>
      <c r="NWT73" s="705"/>
      <c r="NWU73" s="799"/>
      <c r="NWV73" s="800"/>
      <c r="NWW73" s="800"/>
      <c r="NWX73" s="800"/>
      <c r="NWY73" s="800"/>
      <c r="NWZ73" s="800"/>
      <c r="NXA73" s="705"/>
      <c r="NXB73" s="799"/>
      <c r="NXC73" s="800"/>
      <c r="NXD73" s="800"/>
      <c r="NXE73" s="800"/>
      <c r="NXF73" s="800"/>
      <c r="NXG73" s="800"/>
      <c r="NXH73" s="705"/>
      <c r="NXI73" s="799"/>
      <c r="NXJ73" s="800"/>
      <c r="NXK73" s="800"/>
      <c r="NXL73" s="800"/>
      <c r="NXM73" s="800"/>
      <c r="NXN73" s="800"/>
      <c r="NXO73" s="705"/>
      <c r="NXP73" s="799"/>
      <c r="NXQ73" s="800"/>
      <c r="NXR73" s="800"/>
      <c r="NXS73" s="800"/>
      <c r="NXT73" s="800"/>
      <c r="NXU73" s="800"/>
      <c r="NXV73" s="705"/>
      <c r="NXW73" s="799"/>
      <c r="NXX73" s="800"/>
      <c r="NXY73" s="800"/>
      <c r="NXZ73" s="800"/>
      <c r="NYA73" s="800"/>
      <c r="NYB73" s="800"/>
      <c r="NYC73" s="705"/>
      <c r="NYD73" s="799"/>
      <c r="NYE73" s="800"/>
      <c r="NYF73" s="800"/>
      <c r="NYG73" s="800"/>
      <c r="NYH73" s="800"/>
      <c r="NYI73" s="800"/>
      <c r="NYJ73" s="705"/>
      <c r="NYK73" s="799"/>
      <c r="NYL73" s="800"/>
      <c r="NYM73" s="800"/>
      <c r="NYN73" s="800"/>
      <c r="NYO73" s="800"/>
      <c r="NYP73" s="800"/>
      <c r="NYQ73" s="705"/>
      <c r="NYR73" s="799"/>
      <c r="NYS73" s="800"/>
      <c r="NYT73" s="800"/>
      <c r="NYU73" s="800"/>
      <c r="NYV73" s="800"/>
      <c r="NYW73" s="800"/>
      <c r="NYX73" s="705"/>
      <c r="NYY73" s="799"/>
      <c r="NYZ73" s="800"/>
      <c r="NZA73" s="800"/>
      <c r="NZB73" s="800"/>
      <c r="NZC73" s="800"/>
      <c r="NZD73" s="800"/>
      <c r="NZE73" s="705"/>
      <c r="NZF73" s="799"/>
      <c r="NZG73" s="800"/>
      <c r="NZH73" s="800"/>
      <c r="NZI73" s="800"/>
      <c r="NZJ73" s="800"/>
      <c r="NZK73" s="800"/>
      <c r="NZL73" s="705"/>
      <c r="NZM73" s="799"/>
      <c r="NZN73" s="800"/>
      <c r="NZO73" s="800"/>
      <c r="NZP73" s="800"/>
      <c r="NZQ73" s="800"/>
      <c r="NZR73" s="800"/>
      <c r="NZS73" s="705"/>
      <c r="NZT73" s="799"/>
      <c r="NZU73" s="800"/>
      <c r="NZV73" s="800"/>
      <c r="NZW73" s="800"/>
      <c r="NZX73" s="800"/>
      <c r="NZY73" s="800"/>
      <c r="NZZ73" s="705"/>
      <c r="OAA73" s="799"/>
      <c r="OAB73" s="800"/>
      <c r="OAC73" s="800"/>
      <c r="OAD73" s="800"/>
      <c r="OAE73" s="800"/>
      <c r="OAF73" s="800"/>
      <c r="OAG73" s="705"/>
      <c r="OAH73" s="799"/>
      <c r="OAI73" s="800"/>
      <c r="OAJ73" s="800"/>
      <c r="OAK73" s="800"/>
      <c r="OAL73" s="800"/>
      <c r="OAM73" s="800"/>
      <c r="OAN73" s="705"/>
      <c r="OAO73" s="799"/>
      <c r="OAP73" s="800"/>
      <c r="OAQ73" s="800"/>
      <c r="OAR73" s="800"/>
      <c r="OAS73" s="800"/>
      <c r="OAT73" s="800"/>
      <c r="OAU73" s="705"/>
      <c r="OAV73" s="799"/>
      <c r="OAW73" s="800"/>
      <c r="OAX73" s="800"/>
      <c r="OAY73" s="800"/>
      <c r="OAZ73" s="800"/>
      <c r="OBA73" s="800"/>
      <c r="OBB73" s="705"/>
      <c r="OBC73" s="799"/>
      <c r="OBD73" s="800"/>
      <c r="OBE73" s="800"/>
      <c r="OBF73" s="800"/>
      <c r="OBG73" s="800"/>
      <c r="OBH73" s="800"/>
      <c r="OBI73" s="705"/>
      <c r="OBJ73" s="799"/>
      <c r="OBK73" s="800"/>
      <c r="OBL73" s="800"/>
      <c r="OBM73" s="800"/>
      <c r="OBN73" s="800"/>
      <c r="OBO73" s="800"/>
      <c r="OBP73" s="705"/>
      <c r="OBQ73" s="799"/>
      <c r="OBR73" s="800"/>
      <c r="OBS73" s="800"/>
      <c r="OBT73" s="800"/>
      <c r="OBU73" s="800"/>
      <c r="OBV73" s="800"/>
      <c r="OBW73" s="705"/>
      <c r="OBX73" s="799"/>
      <c r="OBY73" s="800"/>
      <c r="OBZ73" s="800"/>
      <c r="OCA73" s="800"/>
      <c r="OCB73" s="800"/>
      <c r="OCC73" s="800"/>
      <c r="OCD73" s="705"/>
      <c r="OCE73" s="799"/>
      <c r="OCF73" s="800"/>
      <c r="OCG73" s="800"/>
      <c r="OCH73" s="800"/>
      <c r="OCI73" s="800"/>
      <c r="OCJ73" s="800"/>
      <c r="OCK73" s="705"/>
      <c r="OCL73" s="799"/>
      <c r="OCM73" s="800"/>
      <c r="OCN73" s="800"/>
      <c r="OCO73" s="800"/>
      <c r="OCP73" s="800"/>
      <c r="OCQ73" s="800"/>
      <c r="OCR73" s="705"/>
      <c r="OCS73" s="799"/>
      <c r="OCT73" s="800"/>
      <c r="OCU73" s="800"/>
      <c r="OCV73" s="800"/>
      <c r="OCW73" s="800"/>
      <c r="OCX73" s="800"/>
      <c r="OCY73" s="705"/>
      <c r="OCZ73" s="799"/>
      <c r="ODA73" s="800"/>
      <c r="ODB73" s="800"/>
      <c r="ODC73" s="800"/>
      <c r="ODD73" s="800"/>
      <c r="ODE73" s="800"/>
      <c r="ODF73" s="705"/>
      <c r="ODG73" s="799"/>
      <c r="ODH73" s="800"/>
      <c r="ODI73" s="800"/>
      <c r="ODJ73" s="800"/>
      <c r="ODK73" s="800"/>
      <c r="ODL73" s="800"/>
      <c r="ODM73" s="705"/>
      <c r="ODN73" s="799"/>
      <c r="ODO73" s="800"/>
      <c r="ODP73" s="800"/>
      <c r="ODQ73" s="800"/>
      <c r="ODR73" s="800"/>
      <c r="ODS73" s="800"/>
      <c r="ODT73" s="705"/>
      <c r="ODU73" s="799"/>
      <c r="ODV73" s="800"/>
      <c r="ODW73" s="800"/>
      <c r="ODX73" s="800"/>
      <c r="ODY73" s="800"/>
      <c r="ODZ73" s="800"/>
      <c r="OEA73" s="705"/>
      <c r="OEB73" s="799"/>
      <c r="OEC73" s="800"/>
      <c r="OED73" s="800"/>
      <c r="OEE73" s="800"/>
      <c r="OEF73" s="800"/>
      <c r="OEG73" s="800"/>
      <c r="OEH73" s="705"/>
      <c r="OEI73" s="799"/>
      <c r="OEJ73" s="800"/>
      <c r="OEK73" s="800"/>
      <c r="OEL73" s="800"/>
      <c r="OEM73" s="800"/>
      <c r="OEN73" s="800"/>
      <c r="OEO73" s="705"/>
      <c r="OEP73" s="799"/>
      <c r="OEQ73" s="800"/>
      <c r="OER73" s="800"/>
      <c r="OES73" s="800"/>
      <c r="OET73" s="800"/>
      <c r="OEU73" s="800"/>
      <c r="OEV73" s="705"/>
      <c r="OEW73" s="799"/>
      <c r="OEX73" s="800"/>
      <c r="OEY73" s="800"/>
      <c r="OEZ73" s="800"/>
      <c r="OFA73" s="800"/>
      <c r="OFB73" s="800"/>
      <c r="OFC73" s="705"/>
      <c r="OFD73" s="799"/>
      <c r="OFE73" s="800"/>
      <c r="OFF73" s="800"/>
      <c r="OFG73" s="800"/>
      <c r="OFH73" s="800"/>
      <c r="OFI73" s="800"/>
      <c r="OFJ73" s="705"/>
      <c r="OFK73" s="799"/>
      <c r="OFL73" s="800"/>
      <c r="OFM73" s="800"/>
      <c r="OFN73" s="800"/>
      <c r="OFO73" s="800"/>
      <c r="OFP73" s="800"/>
      <c r="OFQ73" s="705"/>
      <c r="OFR73" s="799"/>
      <c r="OFS73" s="800"/>
      <c r="OFT73" s="800"/>
      <c r="OFU73" s="800"/>
      <c r="OFV73" s="800"/>
      <c r="OFW73" s="800"/>
      <c r="OFX73" s="705"/>
      <c r="OFY73" s="799"/>
      <c r="OFZ73" s="800"/>
      <c r="OGA73" s="800"/>
      <c r="OGB73" s="800"/>
      <c r="OGC73" s="800"/>
      <c r="OGD73" s="800"/>
      <c r="OGE73" s="705"/>
      <c r="OGF73" s="799"/>
      <c r="OGG73" s="800"/>
      <c r="OGH73" s="800"/>
      <c r="OGI73" s="800"/>
      <c r="OGJ73" s="800"/>
      <c r="OGK73" s="800"/>
      <c r="OGL73" s="705"/>
      <c r="OGM73" s="799"/>
      <c r="OGN73" s="800"/>
      <c r="OGO73" s="800"/>
      <c r="OGP73" s="800"/>
      <c r="OGQ73" s="800"/>
      <c r="OGR73" s="800"/>
      <c r="OGS73" s="705"/>
      <c r="OGT73" s="799"/>
      <c r="OGU73" s="800"/>
      <c r="OGV73" s="800"/>
      <c r="OGW73" s="800"/>
      <c r="OGX73" s="800"/>
      <c r="OGY73" s="800"/>
      <c r="OGZ73" s="705"/>
      <c r="OHA73" s="799"/>
      <c r="OHB73" s="800"/>
      <c r="OHC73" s="800"/>
      <c r="OHD73" s="800"/>
      <c r="OHE73" s="800"/>
      <c r="OHF73" s="800"/>
      <c r="OHG73" s="705"/>
      <c r="OHH73" s="799"/>
      <c r="OHI73" s="800"/>
      <c r="OHJ73" s="800"/>
      <c r="OHK73" s="800"/>
      <c r="OHL73" s="800"/>
      <c r="OHM73" s="800"/>
      <c r="OHN73" s="705"/>
      <c r="OHO73" s="799"/>
      <c r="OHP73" s="800"/>
      <c r="OHQ73" s="800"/>
      <c r="OHR73" s="800"/>
      <c r="OHS73" s="800"/>
      <c r="OHT73" s="800"/>
      <c r="OHU73" s="705"/>
      <c r="OHV73" s="799"/>
      <c r="OHW73" s="800"/>
      <c r="OHX73" s="800"/>
      <c r="OHY73" s="800"/>
      <c r="OHZ73" s="800"/>
      <c r="OIA73" s="800"/>
      <c r="OIB73" s="705"/>
      <c r="OIC73" s="799"/>
      <c r="OID73" s="800"/>
      <c r="OIE73" s="800"/>
      <c r="OIF73" s="800"/>
      <c r="OIG73" s="800"/>
      <c r="OIH73" s="800"/>
      <c r="OII73" s="705"/>
      <c r="OIJ73" s="799"/>
      <c r="OIK73" s="800"/>
      <c r="OIL73" s="800"/>
      <c r="OIM73" s="800"/>
      <c r="OIN73" s="800"/>
      <c r="OIO73" s="800"/>
      <c r="OIP73" s="705"/>
      <c r="OIQ73" s="799"/>
      <c r="OIR73" s="800"/>
      <c r="OIS73" s="800"/>
      <c r="OIT73" s="800"/>
      <c r="OIU73" s="800"/>
      <c r="OIV73" s="800"/>
      <c r="OIW73" s="705"/>
      <c r="OIX73" s="799"/>
      <c r="OIY73" s="800"/>
      <c r="OIZ73" s="800"/>
      <c r="OJA73" s="800"/>
      <c r="OJB73" s="800"/>
      <c r="OJC73" s="800"/>
      <c r="OJD73" s="705"/>
      <c r="OJE73" s="799"/>
      <c r="OJF73" s="800"/>
      <c r="OJG73" s="800"/>
      <c r="OJH73" s="800"/>
      <c r="OJI73" s="800"/>
      <c r="OJJ73" s="800"/>
      <c r="OJK73" s="705"/>
      <c r="OJL73" s="799"/>
      <c r="OJM73" s="800"/>
      <c r="OJN73" s="800"/>
      <c r="OJO73" s="800"/>
      <c r="OJP73" s="800"/>
      <c r="OJQ73" s="800"/>
      <c r="OJR73" s="705"/>
      <c r="OJS73" s="799"/>
      <c r="OJT73" s="800"/>
      <c r="OJU73" s="800"/>
      <c r="OJV73" s="800"/>
      <c r="OJW73" s="800"/>
      <c r="OJX73" s="800"/>
      <c r="OJY73" s="705"/>
      <c r="OJZ73" s="799"/>
      <c r="OKA73" s="800"/>
      <c r="OKB73" s="800"/>
      <c r="OKC73" s="800"/>
      <c r="OKD73" s="800"/>
      <c r="OKE73" s="800"/>
      <c r="OKF73" s="705"/>
      <c r="OKG73" s="799"/>
      <c r="OKH73" s="800"/>
      <c r="OKI73" s="800"/>
      <c r="OKJ73" s="800"/>
      <c r="OKK73" s="800"/>
      <c r="OKL73" s="800"/>
      <c r="OKM73" s="705"/>
      <c r="OKN73" s="799"/>
      <c r="OKO73" s="800"/>
      <c r="OKP73" s="800"/>
      <c r="OKQ73" s="800"/>
      <c r="OKR73" s="800"/>
      <c r="OKS73" s="800"/>
      <c r="OKT73" s="705"/>
      <c r="OKU73" s="799"/>
      <c r="OKV73" s="800"/>
      <c r="OKW73" s="800"/>
      <c r="OKX73" s="800"/>
      <c r="OKY73" s="800"/>
      <c r="OKZ73" s="800"/>
      <c r="OLA73" s="705"/>
      <c r="OLB73" s="799"/>
      <c r="OLC73" s="800"/>
      <c r="OLD73" s="800"/>
      <c r="OLE73" s="800"/>
      <c r="OLF73" s="800"/>
      <c r="OLG73" s="800"/>
      <c r="OLH73" s="705"/>
      <c r="OLI73" s="799"/>
      <c r="OLJ73" s="800"/>
      <c r="OLK73" s="800"/>
      <c r="OLL73" s="800"/>
      <c r="OLM73" s="800"/>
      <c r="OLN73" s="800"/>
      <c r="OLO73" s="705"/>
      <c r="OLP73" s="799"/>
      <c r="OLQ73" s="800"/>
      <c r="OLR73" s="800"/>
      <c r="OLS73" s="800"/>
      <c r="OLT73" s="800"/>
      <c r="OLU73" s="800"/>
      <c r="OLV73" s="705"/>
      <c r="OLW73" s="799"/>
      <c r="OLX73" s="800"/>
      <c r="OLY73" s="800"/>
      <c r="OLZ73" s="800"/>
      <c r="OMA73" s="800"/>
      <c r="OMB73" s="800"/>
      <c r="OMC73" s="705"/>
      <c r="OMD73" s="799"/>
      <c r="OME73" s="800"/>
      <c r="OMF73" s="800"/>
      <c r="OMG73" s="800"/>
      <c r="OMH73" s="800"/>
      <c r="OMI73" s="800"/>
      <c r="OMJ73" s="705"/>
      <c r="OMK73" s="799"/>
      <c r="OML73" s="800"/>
      <c r="OMM73" s="800"/>
      <c r="OMN73" s="800"/>
      <c r="OMO73" s="800"/>
      <c r="OMP73" s="800"/>
      <c r="OMQ73" s="705"/>
      <c r="OMR73" s="799"/>
      <c r="OMS73" s="800"/>
      <c r="OMT73" s="800"/>
      <c r="OMU73" s="800"/>
      <c r="OMV73" s="800"/>
      <c r="OMW73" s="800"/>
      <c r="OMX73" s="705"/>
      <c r="OMY73" s="799"/>
      <c r="OMZ73" s="800"/>
      <c r="ONA73" s="800"/>
      <c r="ONB73" s="800"/>
      <c r="ONC73" s="800"/>
      <c r="OND73" s="800"/>
      <c r="ONE73" s="705"/>
      <c r="ONF73" s="799"/>
      <c r="ONG73" s="800"/>
      <c r="ONH73" s="800"/>
      <c r="ONI73" s="800"/>
      <c r="ONJ73" s="800"/>
      <c r="ONK73" s="800"/>
      <c r="ONL73" s="705"/>
      <c r="ONM73" s="799"/>
      <c r="ONN73" s="800"/>
      <c r="ONO73" s="800"/>
      <c r="ONP73" s="800"/>
      <c r="ONQ73" s="800"/>
      <c r="ONR73" s="800"/>
      <c r="ONS73" s="705"/>
      <c r="ONT73" s="799"/>
      <c r="ONU73" s="800"/>
      <c r="ONV73" s="800"/>
      <c r="ONW73" s="800"/>
      <c r="ONX73" s="800"/>
      <c r="ONY73" s="800"/>
      <c r="ONZ73" s="705"/>
      <c r="OOA73" s="799"/>
      <c r="OOB73" s="800"/>
      <c r="OOC73" s="800"/>
      <c r="OOD73" s="800"/>
      <c r="OOE73" s="800"/>
      <c r="OOF73" s="800"/>
      <c r="OOG73" s="705"/>
      <c r="OOH73" s="799"/>
      <c r="OOI73" s="800"/>
      <c r="OOJ73" s="800"/>
      <c r="OOK73" s="800"/>
      <c r="OOL73" s="800"/>
      <c r="OOM73" s="800"/>
      <c r="OON73" s="705"/>
      <c r="OOO73" s="799"/>
      <c r="OOP73" s="800"/>
      <c r="OOQ73" s="800"/>
      <c r="OOR73" s="800"/>
      <c r="OOS73" s="800"/>
      <c r="OOT73" s="800"/>
      <c r="OOU73" s="705"/>
      <c r="OOV73" s="799"/>
      <c r="OOW73" s="800"/>
      <c r="OOX73" s="800"/>
      <c r="OOY73" s="800"/>
      <c r="OOZ73" s="800"/>
      <c r="OPA73" s="800"/>
      <c r="OPB73" s="705"/>
      <c r="OPC73" s="799"/>
      <c r="OPD73" s="800"/>
      <c r="OPE73" s="800"/>
      <c r="OPF73" s="800"/>
      <c r="OPG73" s="800"/>
      <c r="OPH73" s="800"/>
      <c r="OPI73" s="705"/>
      <c r="OPJ73" s="799"/>
      <c r="OPK73" s="800"/>
      <c r="OPL73" s="800"/>
      <c r="OPM73" s="800"/>
      <c r="OPN73" s="800"/>
      <c r="OPO73" s="800"/>
      <c r="OPP73" s="705"/>
      <c r="OPQ73" s="799"/>
      <c r="OPR73" s="800"/>
      <c r="OPS73" s="800"/>
      <c r="OPT73" s="800"/>
      <c r="OPU73" s="800"/>
      <c r="OPV73" s="800"/>
      <c r="OPW73" s="705"/>
      <c r="OPX73" s="799"/>
      <c r="OPY73" s="800"/>
      <c r="OPZ73" s="800"/>
      <c r="OQA73" s="800"/>
      <c r="OQB73" s="800"/>
      <c r="OQC73" s="800"/>
      <c r="OQD73" s="705"/>
      <c r="OQE73" s="799"/>
      <c r="OQF73" s="800"/>
      <c r="OQG73" s="800"/>
      <c r="OQH73" s="800"/>
      <c r="OQI73" s="800"/>
      <c r="OQJ73" s="800"/>
      <c r="OQK73" s="705"/>
      <c r="OQL73" s="799"/>
      <c r="OQM73" s="800"/>
      <c r="OQN73" s="800"/>
      <c r="OQO73" s="800"/>
      <c r="OQP73" s="800"/>
      <c r="OQQ73" s="800"/>
      <c r="OQR73" s="705"/>
      <c r="OQS73" s="799"/>
      <c r="OQT73" s="800"/>
      <c r="OQU73" s="800"/>
      <c r="OQV73" s="800"/>
      <c r="OQW73" s="800"/>
      <c r="OQX73" s="800"/>
      <c r="OQY73" s="705"/>
      <c r="OQZ73" s="799"/>
      <c r="ORA73" s="800"/>
      <c r="ORB73" s="800"/>
      <c r="ORC73" s="800"/>
      <c r="ORD73" s="800"/>
      <c r="ORE73" s="800"/>
      <c r="ORF73" s="705"/>
      <c r="ORG73" s="799"/>
      <c r="ORH73" s="800"/>
      <c r="ORI73" s="800"/>
      <c r="ORJ73" s="800"/>
      <c r="ORK73" s="800"/>
      <c r="ORL73" s="800"/>
      <c r="ORM73" s="705"/>
      <c r="ORN73" s="799"/>
      <c r="ORO73" s="800"/>
      <c r="ORP73" s="800"/>
      <c r="ORQ73" s="800"/>
      <c r="ORR73" s="800"/>
      <c r="ORS73" s="800"/>
      <c r="ORT73" s="705"/>
      <c r="ORU73" s="799"/>
      <c r="ORV73" s="800"/>
      <c r="ORW73" s="800"/>
      <c r="ORX73" s="800"/>
      <c r="ORY73" s="800"/>
      <c r="ORZ73" s="800"/>
      <c r="OSA73" s="705"/>
      <c r="OSB73" s="799"/>
      <c r="OSC73" s="800"/>
      <c r="OSD73" s="800"/>
      <c r="OSE73" s="800"/>
      <c r="OSF73" s="800"/>
      <c r="OSG73" s="800"/>
      <c r="OSH73" s="705"/>
      <c r="OSI73" s="799"/>
      <c r="OSJ73" s="800"/>
      <c r="OSK73" s="800"/>
      <c r="OSL73" s="800"/>
      <c r="OSM73" s="800"/>
      <c r="OSN73" s="800"/>
      <c r="OSO73" s="705"/>
      <c r="OSP73" s="799"/>
      <c r="OSQ73" s="800"/>
      <c r="OSR73" s="800"/>
      <c r="OSS73" s="800"/>
      <c r="OST73" s="800"/>
      <c r="OSU73" s="800"/>
      <c r="OSV73" s="705"/>
      <c r="OSW73" s="799"/>
      <c r="OSX73" s="800"/>
      <c r="OSY73" s="800"/>
      <c r="OSZ73" s="800"/>
      <c r="OTA73" s="800"/>
      <c r="OTB73" s="800"/>
      <c r="OTC73" s="705"/>
      <c r="OTD73" s="799"/>
      <c r="OTE73" s="800"/>
      <c r="OTF73" s="800"/>
      <c r="OTG73" s="800"/>
      <c r="OTH73" s="800"/>
      <c r="OTI73" s="800"/>
      <c r="OTJ73" s="705"/>
      <c r="OTK73" s="799"/>
      <c r="OTL73" s="800"/>
      <c r="OTM73" s="800"/>
      <c r="OTN73" s="800"/>
      <c r="OTO73" s="800"/>
      <c r="OTP73" s="800"/>
      <c r="OTQ73" s="705"/>
      <c r="OTR73" s="799"/>
      <c r="OTS73" s="800"/>
      <c r="OTT73" s="800"/>
      <c r="OTU73" s="800"/>
      <c r="OTV73" s="800"/>
      <c r="OTW73" s="800"/>
      <c r="OTX73" s="705"/>
      <c r="OTY73" s="799"/>
      <c r="OTZ73" s="800"/>
      <c r="OUA73" s="800"/>
      <c r="OUB73" s="800"/>
      <c r="OUC73" s="800"/>
      <c r="OUD73" s="800"/>
      <c r="OUE73" s="705"/>
      <c r="OUF73" s="799"/>
      <c r="OUG73" s="800"/>
      <c r="OUH73" s="800"/>
      <c r="OUI73" s="800"/>
      <c r="OUJ73" s="800"/>
      <c r="OUK73" s="800"/>
      <c r="OUL73" s="705"/>
      <c r="OUM73" s="799"/>
      <c r="OUN73" s="800"/>
      <c r="OUO73" s="800"/>
      <c r="OUP73" s="800"/>
      <c r="OUQ73" s="800"/>
      <c r="OUR73" s="800"/>
      <c r="OUS73" s="705"/>
      <c r="OUT73" s="799"/>
      <c r="OUU73" s="800"/>
      <c r="OUV73" s="800"/>
      <c r="OUW73" s="800"/>
      <c r="OUX73" s="800"/>
      <c r="OUY73" s="800"/>
      <c r="OUZ73" s="705"/>
      <c r="OVA73" s="799"/>
      <c r="OVB73" s="800"/>
      <c r="OVC73" s="800"/>
      <c r="OVD73" s="800"/>
      <c r="OVE73" s="800"/>
      <c r="OVF73" s="800"/>
      <c r="OVG73" s="705"/>
      <c r="OVH73" s="799"/>
      <c r="OVI73" s="800"/>
      <c r="OVJ73" s="800"/>
      <c r="OVK73" s="800"/>
      <c r="OVL73" s="800"/>
      <c r="OVM73" s="800"/>
      <c r="OVN73" s="705"/>
      <c r="OVO73" s="799"/>
      <c r="OVP73" s="800"/>
      <c r="OVQ73" s="800"/>
      <c r="OVR73" s="800"/>
      <c r="OVS73" s="800"/>
      <c r="OVT73" s="800"/>
      <c r="OVU73" s="705"/>
      <c r="OVV73" s="799"/>
      <c r="OVW73" s="800"/>
      <c r="OVX73" s="800"/>
      <c r="OVY73" s="800"/>
      <c r="OVZ73" s="800"/>
      <c r="OWA73" s="800"/>
      <c r="OWB73" s="705"/>
      <c r="OWC73" s="799"/>
      <c r="OWD73" s="800"/>
      <c r="OWE73" s="800"/>
      <c r="OWF73" s="800"/>
      <c r="OWG73" s="800"/>
      <c r="OWH73" s="800"/>
      <c r="OWI73" s="705"/>
      <c r="OWJ73" s="799"/>
      <c r="OWK73" s="800"/>
      <c r="OWL73" s="800"/>
      <c r="OWM73" s="800"/>
      <c r="OWN73" s="800"/>
      <c r="OWO73" s="800"/>
      <c r="OWP73" s="705"/>
      <c r="OWQ73" s="799"/>
      <c r="OWR73" s="800"/>
      <c r="OWS73" s="800"/>
      <c r="OWT73" s="800"/>
      <c r="OWU73" s="800"/>
      <c r="OWV73" s="800"/>
      <c r="OWW73" s="705"/>
      <c r="OWX73" s="799"/>
      <c r="OWY73" s="800"/>
      <c r="OWZ73" s="800"/>
      <c r="OXA73" s="800"/>
      <c r="OXB73" s="800"/>
      <c r="OXC73" s="800"/>
      <c r="OXD73" s="705"/>
      <c r="OXE73" s="799"/>
      <c r="OXF73" s="800"/>
      <c r="OXG73" s="800"/>
      <c r="OXH73" s="800"/>
      <c r="OXI73" s="800"/>
      <c r="OXJ73" s="800"/>
      <c r="OXK73" s="705"/>
      <c r="OXL73" s="799"/>
      <c r="OXM73" s="800"/>
      <c r="OXN73" s="800"/>
      <c r="OXO73" s="800"/>
      <c r="OXP73" s="800"/>
      <c r="OXQ73" s="800"/>
      <c r="OXR73" s="705"/>
      <c r="OXS73" s="799"/>
      <c r="OXT73" s="800"/>
      <c r="OXU73" s="800"/>
      <c r="OXV73" s="800"/>
      <c r="OXW73" s="800"/>
      <c r="OXX73" s="800"/>
      <c r="OXY73" s="705"/>
      <c r="OXZ73" s="799"/>
      <c r="OYA73" s="800"/>
      <c r="OYB73" s="800"/>
      <c r="OYC73" s="800"/>
      <c r="OYD73" s="800"/>
      <c r="OYE73" s="800"/>
      <c r="OYF73" s="705"/>
      <c r="OYG73" s="799"/>
      <c r="OYH73" s="800"/>
      <c r="OYI73" s="800"/>
      <c r="OYJ73" s="800"/>
      <c r="OYK73" s="800"/>
      <c r="OYL73" s="800"/>
      <c r="OYM73" s="705"/>
      <c r="OYN73" s="799"/>
      <c r="OYO73" s="800"/>
      <c r="OYP73" s="800"/>
      <c r="OYQ73" s="800"/>
      <c r="OYR73" s="800"/>
      <c r="OYS73" s="800"/>
      <c r="OYT73" s="705"/>
      <c r="OYU73" s="799"/>
      <c r="OYV73" s="800"/>
      <c r="OYW73" s="800"/>
      <c r="OYX73" s="800"/>
      <c r="OYY73" s="800"/>
      <c r="OYZ73" s="800"/>
      <c r="OZA73" s="705"/>
      <c r="OZB73" s="799"/>
      <c r="OZC73" s="800"/>
      <c r="OZD73" s="800"/>
      <c r="OZE73" s="800"/>
      <c r="OZF73" s="800"/>
      <c r="OZG73" s="800"/>
      <c r="OZH73" s="705"/>
      <c r="OZI73" s="799"/>
      <c r="OZJ73" s="800"/>
      <c r="OZK73" s="800"/>
      <c r="OZL73" s="800"/>
      <c r="OZM73" s="800"/>
      <c r="OZN73" s="800"/>
      <c r="OZO73" s="705"/>
      <c r="OZP73" s="799"/>
      <c r="OZQ73" s="800"/>
      <c r="OZR73" s="800"/>
      <c r="OZS73" s="800"/>
      <c r="OZT73" s="800"/>
      <c r="OZU73" s="800"/>
      <c r="OZV73" s="705"/>
      <c r="OZW73" s="799"/>
      <c r="OZX73" s="800"/>
      <c r="OZY73" s="800"/>
      <c r="OZZ73" s="800"/>
      <c r="PAA73" s="800"/>
      <c r="PAB73" s="800"/>
      <c r="PAC73" s="705"/>
      <c r="PAD73" s="799"/>
      <c r="PAE73" s="800"/>
      <c r="PAF73" s="800"/>
      <c r="PAG73" s="800"/>
      <c r="PAH73" s="800"/>
      <c r="PAI73" s="800"/>
      <c r="PAJ73" s="705"/>
      <c r="PAK73" s="799"/>
      <c r="PAL73" s="800"/>
      <c r="PAM73" s="800"/>
      <c r="PAN73" s="800"/>
      <c r="PAO73" s="800"/>
      <c r="PAP73" s="800"/>
      <c r="PAQ73" s="705"/>
      <c r="PAR73" s="799"/>
      <c r="PAS73" s="800"/>
      <c r="PAT73" s="800"/>
      <c r="PAU73" s="800"/>
      <c r="PAV73" s="800"/>
      <c r="PAW73" s="800"/>
      <c r="PAX73" s="705"/>
      <c r="PAY73" s="799"/>
      <c r="PAZ73" s="800"/>
      <c r="PBA73" s="800"/>
      <c r="PBB73" s="800"/>
      <c r="PBC73" s="800"/>
      <c r="PBD73" s="800"/>
      <c r="PBE73" s="705"/>
      <c r="PBF73" s="799"/>
      <c r="PBG73" s="800"/>
      <c r="PBH73" s="800"/>
      <c r="PBI73" s="800"/>
      <c r="PBJ73" s="800"/>
      <c r="PBK73" s="800"/>
      <c r="PBL73" s="705"/>
      <c r="PBM73" s="799"/>
      <c r="PBN73" s="800"/>
      <c r="PBO73" s="800"/>
      <c r="PBP73" s="800"/>
      <c r="PBQ73" s="800"/>
      <c r="PBR73" s="800"/>
      <c r="PBS73" s="705"/>
      <c r="PBT73" s="799"/>
      <c r="PBU73" s="800"/>
      <c r="PBV73" s="800"/>
      <c r="PBW73" s="800"/>
      <c r="PBX73" s="800"/>
      <c r="PBY73" s="800"/>
      <c r="PBZ73" s="705"/>
      <c r="PCA73" s="799"/>
      <c r="PCB73" s="800"/>
      <c r="PCC73" s="800"/>
      <c r="PCD73" s="800"/>
      <c r="PCE73" s="800"/>
      <c r="PCF73" s="800"/>
      <c r="PCG73" s="705"/>
      <c r="PCH73" s="799"/>
      <c r="PCI73" s="800"/>
      <c r="PCJ73" s="800"/>
      <c r="PCK73" s="800"/>
      <c r="PCL73" s="800"/>
      <c r="PCM73" s="800"/>
      <c r="PCN73" s="705"/>
      <c r="PCO73" s="799"/>
      <c r="PCP73" s="800"/>
      <c r="PCQ73" s="800"/>
      <c r="PCR73" s="800"/>
      <c r="PCS73" s="800"/>
      <c r="PCT73" s="800"/>
      <c r="PCU73" s="705"/>
      <c r="PCV73" s="799"/>
      <c r="PCW73" s="800"/>
      <c r="PCX73" s="800"/>
      <c r="PCY73" s="800"/>
      <c r="PCZ73" s="800"/>
      <c r="PDA73" s="800"/>
      <c r="PDB73" s="705"/>
      <c r="PDC73" s="799"/>
      <c r="PDD73" s="800"/>
      <c r="PDE73" s="800"/>
      <c r="PDF73" s="800"/>
      <c r="PDG73" s="800"/>
      <c r="PDH73" s="800"/>
      <c r="PDI73" s="705"/>
      <c r="PDJ73" s="799"/>
      <c r="PDK73" s="800"/>
      <c r="PDL73" s="800"/>
      <c r="PDM73" s="800"/>
      <c r="PDN73" s="800"/>
      <c r="PDO73" s="800"/>
      <c r="PDP73" s="705"/>
      <c r="PDQ73" s="799"/>
      <c r="PDR73" s="800"/>
      <c r="PDS73" s="800"/>
      <c r="PDT73" s="800"/>
      <c r="PDU73" s="800"/>
      <c r="PDV73" s="800"/>
      <c r="PDW73" s="705"/>
      <c r="PDX73" s="799"/>
      <c r="PDY73" s="800"/>
      <c r="PDZ73" s="800"/>
      <c r="PEA73" s="800"/>
      <c r="PEB73" s="800"/>
      <c r="PEC73" s="800"/>
      <c r="PED73" s="705"/>
      <c r="PEE73" s="799"/>
      <c r="PEF73" s="800"/>
      <c r="PEG73" s="800"/>
      <c r="PEH73" s="800"/>
      <c r="PEI73" s="800"/>
      <c r="PEJ73" s="800"/>
      <c r="PEK73" s="705"/>
      <c r="PEL73" s="799"/>
      <c r="PEM73" s="800"/>
      <c r="PEN73" s="800"/>
      <c r="PEO73" s="800"/>
      <c r="PEP73" s="800"/>
      <c r="PEQ73" s="800"/>
      <c r="PER73" s="705"/>
      <c r="PES73" s="799"/>
      <c r="PET73" s="800"/>
      <c r="PEU73" s="800"/>
      <c r="PEV73" s="800"/>
      <c r="PEW73" s="800"/>
      <c r="PEX73" s="800"/>
      <c r="PEY73" s="705"/>
      <c r="PEZ73" s="799"/>
      <c r="PFA73" s="800"/>
      <c r="PFB73" s="800"/>
      <c r="PFC73" s="800"/>
      <c r="PFD73" s="800"/>
      <c r="PFE73" s="800"/>
      <c r="PFF73" s="705"/>
      <c r="PFG73" s="799"/>
      <c r="PFH73" s="800"/>
      <c r="PFI73" s="800"/>
      <c r="PFJ73" s="800"/>
      <c r="PFK73" s="800"/>
      <c r="PFL73" s="800"/>
      <c r="PFM73" s="705"/>
      <c r="PFN73" s="799"/>
      <c r="PFO73" s="800"/>
      <c r="PFP73" s="800"/>
      <c r="PFQ73" s="800"/>
      <c r="PFR73" s="800"/>
      <c r="PFS73" s="800"/>
      <c r="PFT73" s="705"/>
      <c r="PFU73" s="799"/>
      <c r="PFV73" s="800"/>
      <c r="PFW73" s="800"/>
      <c r="PFX73" s="800"/>
      <c r="PFY73" s="800"/>
      <c r="PFZ73" s="800"/>
      <c r="PGA73" s="705"/>
      <c r="PGB73" s="799"/>
      <c r="PGC73" s="800"/>
      <c r="PGD73" s="800"/>
      <c r="PGE73" s="800"/>
      <c r="PGF73" s="800"/>
      <c r="PGG73" s="800"/>
      <c r="PGH73" s="705"/>
      <c r="PGI73" s="799"/>
      <c r="PGJ73" s="800"/>
      <c r="PGK73" s="800"/>
      <c r="PGL73" s="800"/>
      <c r="PGM73" s="800"/>
      <c r="PGN73" s="800"/>
      <c r="PGO73" s="705"/>
      <c r="PGP73" s="799"/>
      <c r="PGQ73" s="800"/>
      <c r="PGR73" s="800"/>
      <c r="PGS73" s="800"/>
      <c r="PGT73" s="800"/>
      <c r="PGU73" s="800"/>
      <c r="PGV73" s="705"/>
      <c r="PGW73" s="799"/>
      <c r="PGX73" s="800"/>
      <c r="PGY73" s="800"/>
      <c r="PGZ73" s="800"/>
      <c r="PHA73" s="800"/>
      <c r="PHB73" s="800"/>
      <c r="PHC73" s="705"/>
      <c r="PHD73" s="799"/>
      <c r="PHE73" s="800"/>
      <c r="PHF73" s="800"/>
      <c r="PHG73" s="800"/>
      <c r="PHH73" s="800"/>
      <c r="PHI73" s="800"/>
      <c r="PHJ73" s="705"/>
      <c r="PHK73" s="799"/>
      <c r="PHL73" s="800"/>
      <c r="PHM73" s="800"/>
      <c r="PHN73" s="800"/>
      <c r="PHO73" s="800"/>
      <c r="PHP73" s="800"/>
      <c r="PHQ73" s="705"/>
      <c r="PHR73" s="799"/>
      <c r="PHS73" s="800"/>
      <c r="PHT73" s="800"/>
      <c r="PHU73" s="800"/>
      <c r="PHV73" s="800"/>
      <c r="PHW73" s="800"/>
      <c r="PHX73" s="705"/>
      <c r="PHY73" s="799"/>
      <c r="PHZ73" s="800"/>
      <c r="PIA73" s="800"/>
      <c r="PIB73" s="800"/>
      <c r="PIC73" s="800"/>
      <c r="PID73" s="800"/>
      <c r="PIE73" s="705"/>
      <c r="PIF73" s="799"/>
      <c r="PIG73" s="800"/>
      <c r="PIH73" s="800"/>
      <c r="PII73" s="800"/>
      <c r="PIJ73" s="800"/>
      <c r="PIK73" s="800"/>
      <c r="PIL73" s="705"/>
      <c r="PIM73" s="799"/>
      <c r="PIN73" s="800"/>
      <c r="PIO73" s="800"/>
      <c r="PIP73" s="800"/>
      <c r="PIQ73" s="800"/>
      <c r="PIR73" s="800"/>
      <c r="PIS73" s="705"/>
      <c r="PIT73" s="799"/>
      <c r="PIU73" s="800"/>
      <c r="PIV73" s="800"/>
      <c r="PIW73" s="800"/>
      <c r="PIX73" s="800"/>
      <c r="PIY73" s="800"/>
      <c r="PIZ73" s="705"/>
      <c r="PJA73" s="799"/>
      <c r="PJB73" s="800"/>
      <c r="PJC73" s="800"/>
      <c r="PJD73" s="800"/>
      <c r="PJE73" s="800"/>
      <c r="PJF73" s="800"/>
      <c r="PJG73" s="705"/>
      <c r="PJH73" s="799"/>
      <c r="PJI73" s="800"/>
      <c r="PJJ73" s="800"/>
      <c r="PJK73" s="800"/>
      <c r="PJL73" s="800"/>
      <c r="PJM73" s="800"/>
      <c r="PJN73" s="705"/>
      <c r="PJO73" s="799"/>
      <c r="PJP73" s="800"/>
      <c r="PJQ73" s="800"/>
      <c r="PJR73" s="800"/>
      <c r="PJS73" s="800"/>
      <c r="PJT73" s="800"/>
      <c r="PJU73" s="705"/>
      <c r="PJV73" s="799"/>
      <c r="PJW73" s="800"/>
      <c r="PJX73" s="800"/>
      <c r="PJY73" s="800"/>
      <c r="PJZ73" s="800"/>
      <c r="PKA73" s="800"/>
      <c r="PKB73" s="705"/>
      <c r="PKC73" s="799"/>
      <c r="PKD73" s="800"/>
      <c r="PKE73" s="800"/>
      <c r="PKF73" s="800"/>
      <c r="PKG73" s="800"/>
      <c r="PKH73" s="800"/>
      <c r="PKI73" s="705"/>
      <c r="PKJ73" s="799"/>
      <c r="PKK73" s="800"/>
      <c r="PKL73" s="800"/>
      <c r="PKM73" s="800"/>
      <c r="PKN73" s="800"/>
      <c r="PKO73" s="800"/>
      <c r="PKP73" s="705"/>
      <c r="PKQ73" s="799"/>
      <c r="PKR73" s="800"/>
      <c r="PKS73" s="800"/>
      <c r="PKT73" s="800"/>
      <c r="PKU73" s="800"/>
      <c r="PKV73" s="800"/>
      <c r="PKW73" s="705"/>
      <c r="PKX73" s="799"/>
      <c r="PKY73" s="800"/>
      <c r="PKZ73" s="800"/>
      <c r="PLA73" s="800"/>
      <c r="PLB73" s="800"/>
      <c r="PLC73" s="800"/>
      <c r="PLD73" s="705"/>
      <c r="PLE73" s="799"/>
      <c r="PLF73" s="800"/>
      <c r="PLG73" s="800"/>
      <c r="PLH73" s="800"/>
      <c r="PLI73" s="800"/>
      <c r="PLJ73" s="800"/>
      <c r="PLK73" s="705"/>
      <c r="PLL73" s="799"/>
      <c r="PLM73" s="800"/>
      <c r="PLN73" s="800"/>
      <c r="PLO73" s="800"/>
      <c r="PLP73" s="800"/>
      <c r="PLQ73" s="800"/>
      <c r="PLR73" s="705"/>
      <c r="PLS73" s="799"/>
      <c r="PLT73" s="800"/>
      <c r="PLU73" s="800"/>
      <c r="PLV73" s="800"/>
      <c r="PLW73" s="800"/>
      <c r="PLX73" s="800"/>
      <c r="PLY73" s="705"/>
      <c r="PLZ73" s="799"/>
      <c r="PMA73" s="800"/>
      <c r="PMB73" s="800"/>
      <c r="PMC73" s="800"/>
      <c r="PMD73" s="800"/>
      <c r="PME73" s="800"/>
      <c r="PMF73" s="705"/>
      <c r="PMG73" s="799"/>
      <c r="PMH73" s="800"/>
      <c r="PMI73" s="800"/>
      <c r="PMJ73" s="800"/>
      <c r="PMK73" s="800"/>
      <c r="PML73" s="800"/>
      <c r="PMM73" s="705"/>
      <c r="PMN73" s="799"/>
      <c r="PMO73" s="800"/>
      <c r="PMP73" s="800"/>
      <c r="PMQ73" s="800"/>
      <c r="PMR73" s="800"/>
      <c r="PMS73" s="800"/>
      <c r="PMT73" s="705"/>
      <c r="PMU73" s="799"/>
      <c r="PMV73" s="800"/>
      <c r="PMW73" s="800"/>
      <c r="PMX73" s="800"/>
      <c r="PMY73" s="800"/>
      <c r="PMZ73" s="800"/>
      <c r="PNA73" s="705"/>
      <c r="PNB73" s="799"/>
      <c r="PNC73" s="800"/>
      <c r="PND73" s="800"/>
      <c r="PNE73" s="800"/>
      <c r="PNF73" s="800"/>
      <c r="PNG73" s="800"/>
      <c r="PNH73" s="705"/>
      <c r="PNI73" s="799"/>
      <c r="PNJ73" s="800"/>
      <c r="PNK73" s="800"/>
      <c r="PNL73" s="800"/>
      <c r="PNM73" s="800"/>
      <c r="PNN73" s="800"/>
      <c r="PNO73" s="705"/>
      <c r="PNP73" s="799"/>
      <c r="PNQ73" s="800"/>
      <c r="PNR73" s="800"/>
      <c r="PNS73" s="800"/>
      <c r="PNT73" s="800"/>
      <c r="PNU73" s="800"/>
      <c r="PNV73" s="705"/>
      <c r="PNW73" s="799"/>
      <c r="PNX73" s="800"/>
      <c r="PNY73" s="800"/>
      <c r="PNZ73" s="800"/>
      <c r="POA73" s="800"/>
      <c r="POB73" s="800"/>
      <c r="POC73" s="705"/>
      <c r="POD73" s="799"/>
      <c r="POE73" s="800"/>
      <c r="POF73" s="800"/>
      <c r="POG73" s="800"/>
      <c r="POH73" s="800"/>
      <c r="POI73" s="800"/>
      <c r="POJ73" s="705"/>
      <c r="POK73" s="799"/>
      <c r="POL73" s="800"/>
      <c r="POM73" s="800"/>
      <c r="PON73" s="800"/>
      <c r="POO73" s="800"/>
      <c r="POP73" s="800"/>
      <c r="POQ73" s="705"/>
      <c r="POR73" s="799"/>
      <c r="POS73" s="800"/>
      <c r="POT73" s="800"/>
      <c r="POU73" s="800"/>
      <c r="POV73" s="800"/>
      <c r="POW73" s="800"/>
      <c r="POX73" s="705"/>
      <c r="POY73" s="799"/>
      <c r="POZ73" s="800"/>
      <c r="PPA73" s="800"/>
      <c r="PPB73" s="800"/>
      <c r="PPC73" s="800"/>
      <c r="PPD73" s="800"/>
      <c r="PPE73" s="705"/>
      <c r="PPF73" s="799"/>
      <c r="PPG73" s="800"/>
      <c r="PPH73" s="800"/>
      <c r="PPI73" s="800"/>
      <c r="PPJ73" s="800"/>
      <c r="PPK73" s="800"/>
      <c r="PPL73" s="705"/>
      <c r="PPM73" s="799"/>
      <c r="PPN73" s="800"/>
      <c r="PPO73" s="800"/>
      <c r="PPP73" s="800"/>
      <c r="PPQ73" s="800"/>
      <c r="PPR73" s="800"/>
      <c r="PPS73" s="705"/>
      <c r="PPT73" s="799"/>
      <c r="PPU73" s="800"/>
      <c r="PPV73" s="800"/>
      <c r="PPW73" s="800"/>
      <c r="PPX73" s="800"/>
      <c r="PPY73" s="800"/>
      <c r="PPZ73" s="705"/>
      <c r="PQA73" s="799"/>
      <c r="PQB73" s="800"/>
      <c r="PQC73" s="800"/>
      <c r="PQD73" s="800"/>
      <c r="PQE73" s="800"/>
      <c r="PQF73" s="800"/>
      <c r="PQG73" s="705"/>
      <c r="PQH73" s="799"/>
      <c r="PQI73" s="800"/>
      <c r="PQJ73" s="800"/>
      <c r="PQK73" s="800"/>
      <c r="PQL73" s="800"/>
      <c r="PQM73" s="800"/>
      <c r="PQN73" s="705"/>
      <c r="PQO73" s="799"/>
      <c r="PQP73" s="800"/>
      <c r="PQQ73" s="800"/>
      <c r="PQR73" s="800"/>
      <c r="PQS73" s="800"/>
      <c r="PQT73" s="800"/>
      <c r="PQU73" s="705"/>
      <c r="PQV73" s="799"/>
      <c r="PQW73" s="800"/>
      <c r="PQX73" s="800"/>
      <c r="PQY73" s="800"/>
      <c r="PQZ73" s="800"/>
      <c r="PRA73" s="800"/>
      <c r="PRB73" s="705"/>
      <c r="PRC73" s="799"/>
      <c r="PRD73" s="800"/>
      <c r="PRE73" s="800"/>
      <c r="PRF73" s="800"/>
      <c r="PRG73" s="800"/>
      <c r="PRH73" s="800"/>
      <c r="PRI73" s="705"/>
      <c r="PRJ73" s="799"/>
      <c r="PRK73" s="800"/>
      <c r="PRL73" s="800"/>
      <c r="PRM73" s="800"/>
      <c r="PRN73" s="800"/>
      <c r="PRO73" s="800"/>
      <c r="PRP73" s="705"/>
      <c r="PRQ73" s="799"/>
      <c r="PRR73" s="800"/>
      <c r="PRS73" s="800"/>
      <c r="PRT73" s="800"/>
      <c r="PRU73" s="800"/>
      <c r="PRV73" s="800"/>
      <c r="PRW73" s="705"/>
      <c r="PRX73" s="799"/>
      <c r="PRY73" s="800"/>
      <c r="PRZ73" s="800"/>
      <c r="PSA73" s="800"/>
      <c r="PSB73" s="800"/>
      <c r="PSC73" s="800"/>
      <c r="PSD73" s="705"/>
      <c r="PSE73" s="799"/>
      <c r="PSF73" s="800"/>
      <c r="PSG73" s="800"/>
      <c r="PSH73" s="800"/>
      <c r="PSI73" s="800"/>
      <c r="PSJ73" s="800"/>
      <c r="PSK73" s="705"/>
      <c r="PSL73" s="799"/>
      <c r="PSM73" s="800"/>
      <c r="PSN73" s="800"/>
      <c r="PSO73" s="800"/>
      <c r="PSP73" s="800"/>
      <c r="PSQ73" s="800"/>
      <c r="PSR73" s="705"/>
      <c r="PSS73" s="799"/>
      <c r="PST73" s="800"/>
      <c r="PSU73" s="800"/>
      <c r="PSV73" s="800"/>
      <c r="PSW73" s="800"/>
      <c r="PSX73" s="800"/>
      <c r="PSY73" s="705"/>
      <c r="PSZ73" s="799"/>
      <c r="PTA73" s="800"/>
      <c r="PTB73" s="800"/>
      <c r="PTC73" s="800"/>
      <c r="PTD73" s="800"/>
      <c r="PTE73" s="800"/>
      <c r="PTF73" s="705"/>
      <c r="PTG73" s="799"/>
      <c r="PTH73" s="800"/>
      <c r="PTI73" s="800"/>
      <c r="PTJ73" s="800"/>
      <c r="PTK73" s="800"/>
      <c r="PTL73" s="800"/>
      <c r="PTM73" s="705"/>
      <c r="PTN73" s="799"/>
      <c r="PTO73" s="800"/>
      <c r="PTP73" s="800"/>
      <c r="PTQ73" s="800"/>
      <c r="PTR73" s="800"/>
      <c r="PTS73" s="800"/>
      <c r="PTT73" s="705"/>
      <c r="PTU73" s="799"/>
      <c r="PTV73" s="800"/>
      <c r="PTW73" s="800"/>
      <c r="PTX73" s="800"/>
      <c r="PTY73" s="800"/>
      <c r="PTZ73" s="800"/>
      <c r="PUA73" s="705"/>
      <c r="PUB73" s="799"/>
      <c r="PUC73" s="800"/>
      <c r="PUD73" s="800"/>
      <c r="PUE73" s="800"/>
      <c r="PUF73" s="800"/>
      <c r="PUG73" s="800"/>
      <c r="PUH73" s="705"/>
      <c r="PUI73" s="799"/>
      <c r="PUJ73" s="800"/>
      <c r="PUK73" s="800"/>
      <c r="PUL73" s="800"/>
      <c r="PUM73" s="800"/>
      <c r="PUN73" s="800"/>
      <c r="PUO73" s="705"/>
      <c r="PUP73" s="799"/>
      <c r="PUQ73" s="800"/>
      <c r="PUR73" s="800"/>
      <c r="PUS73" s="800"/>
      <c r="PUT73" s="800"/>
      <c r="PUU73" s="800"/>
      <c r="PUV73" s="705"/>
      <c r="PUW73" s="799"/>
      <c r="PUX73" s="800"/>
      <c r="PUY73" s="800"/>
      <c r="PUZ73" s="800"/>
      <c r="PVA73" s="800"/>
      <c r="PVB73" s="800"/>
      <c r="PVC73" s="705"/>
      <c r="PVD73" s="799"/>
      <c r="PVE73" s="800"/>
      <c r="PVF73" s="800"/>
      <c r="PVG73" s="800"/>
      <c r="PVH73" s="800"/>
      <c r="PVI73" s="800"/>
      <c r="PVJ73" s="705"/>
      <c r="PVK73" s="799"/>
      <c r="PVL73" s="800"/>
      <c r="PVM73" s="800"/>
      <c r="PVN73" s="800"/>
      <c r="PVO73" s="800"/>
      <c r="PVP73" s="800"/>
      <c r="PVQ73" s="705"/>
      <c r="PVR73" s="799"/>
      <c r="PVS73" s="800"/>
      <c r="PVT73" s="800"/>
      <c r="PVU73" s="800"/>
      <c r="PVV73" s="800"/>
      <c r="PVW73" s="800"/>
      <c r="PVX73" s="705"/>
      <c r="PVY73" s="799"/>
      <c r="PVZ73" s="800"/>
      <c r="PWA73" s="800"/>
      <c r="PWB73" s="800"/>
      <c r="PWC73" s="800"/>
      <c r="PWD73" s="800"/>
      <c r="PWE73" s="705"/>
      <c r="PWF73" s="799"/>
      <c r="PWG73" s="800"/>
      <c r="PWH73" s="800"/>
      <c r="PWI73" s="800"/>
      <c r="PWJ73" s="800"/>
      <c r="PWK73" s="800"/>
      <c r="PWL73" s="705"/>
      <c r="PWM73" s="799"/>
      <c r="PWN73" s="800"/>
      <c r="PWO73" s="800"/>
      <c r="PWP73" s="800"/>
      <c r="PWQ73" s="800"/>
      <c r="PWR73" s="800"/>
      <c r="PWS73" s="705"/>
      <c r="PWT73" s="799"/>
      <c r="PWU73" s="800"/>
      <c r="PWV73" s="800"/>
      <c r="PWW73" s="800"/>
      <c r="PWX73" s="800"/>
      <c r="PWY73" s="800"/>
      <c r="PWZ73" s="705"/>
      <c r="PXA73" s="799"/>
      <c r="PXB73" s="800"/>
      <c r="PXC73" s="800"/>
      <c r="PXD73" s="800"/>
      <c r="PXE73" s="800"/>
      <c r="PXF73" s="800"/>
      <c r="PXG73" s="705"/>
      <c r="PXH73" s="799"/>
      <c r="PXI73" s="800"/>
      <c r="PXJ73" s="800"/>
      <c r="PXK73" s="800"/>
      <c r="PXL73" s="800"/>
      <c r="PXM73" s="800"/>
      <c r="PXN73" s="705"/>
      <c r="PXO73" s="799"/>
      <c r="PXP73" s="800"/>
      <c r="PXQ73" s="800"/>
      <c r="PXR73" s="800"/>
      <c r="PXS73" s="800"/>
      <c r="PXT73" s="800"/>
      <c r="PXU73" s="705"/>
      <c r="PXV73" s="799"/>
      <c r="PXW73" s="800"/>
      <c r="PXX73" s="800"/>
      <c r="PXY73" s="800"/>
      <c r="PXZ73" s="800"/>
      <c r="PYA73" s="800"/>
      <c r="PYB73" s="705"/>
      <c r="PYC73" s="799"/>
      <c r="PYD73" s="800"/>
      <c r="PYE73" s="800"/>
      <c r="PYF73" s="800"/>
      <c r="PYG73" s="800"/>
      <c r="PYH73" s="800"/>
      <c r="PYI73" s="705"/>
      <c r="PYJ73" s="799"/>
      <c r="PYK73" s="800"/>
      <c r="PYL73" s="800"/>
      <c r="PYM73" s="800"/>
      <c r="PYN73" s="800"/>
      <c r="PYO73" s="800"/>
      <c r="PYP73" s="705"/>
      <c r="PYQ73" s="799"/>
      <c r="PYR73" s="800"/>
      <c r="PYS73" s="800"/>
      <c r="PYT73" s="800"/>
      <c r="PYU73" s="800"/>
      <c r="PYV73" s="800"/>
      <c r="PYW73" s="705"/>
      <c r="PYX73" s="799"/>
      <c r="PYY73" s="800"/>
      <c r="PYZ73" s="800"/>
      <c r="PZA73" s="800"/>
      <c r="PZB73" s="800"/>
      <c r="PZC73" s="800"/>
      <c r="PZD73" s="705"/>
      <c r="PZE73" s="799"/>
      <c r="PZF73" s="800"/>
      <c r="PZG73" s="800"/>
      <c r="PZH73" s="800"/>
      <c r="PZI73" s="800"/>
      <c r="PZJ73" s="800"/>
      <c r="PZK73" s="705"/>
      <c r="PZL73" s="799"/>
      <c r="PZM73" s="800"/>
      <c r="PZN73" s="800"/>
      <c r="PZO73" s="800"/>
      <c r="PZP73" s="800"/>
      <c r="PZQ73" s="800"/>
      <c r="PZR73" s="705"/>
      <c r="PZS73" s="799"/>
      <c r="PZT73" s="800"/>
      <c r="PZU73" s="800"/>
      <c r="PZV73" s="800"/>
      <c r="PZW73" s="800"/>
      <c r="PZX73" s="800"/>
      <c r="PZY73" s="705"/>
      <c r="PZZ73" s="799"/>
      <c r="QAA73" s="800"/>
      <c r="QAB73" s="800"/>
      <c r="QAC73" s="800"/>
      <c r="QAD73" s="800"/>
      <c r="QAE73" s="800"/>
      <c r="QAF73" s="705"/>
      <c r="QAG73" s="799"/>
      <c r="QAH73" s="800"/>
      <c r="QAI73" s="800"/>
      <c r="QAJ73" s="800"/>
      <c r="QAK73" s="800"/>
      <c r="QAL73" s="800"/>
      <c r="QAM73" s="705"/>
      <c r="QAN73" s="799"/>
      <c r="QAO73" s="800"/>
      <c r="QAP73" s="800"/>
      <c r="QAQ73" s="800"/>
      <c r="QAR73" s="800"/>
      <c r="QAS73" s="800"/>
      <c r="QAT73" s="705"/>
      <c r="QAU73" s="799"/>
      <c r="QAV73" s="800"/>
      <c r="QAW73" s="800"/>
      <c r="QAX73" s="800"/>
      <c r="QAY73" s="800"/>
      <c r="QAZ73" s="800"/>
      <c r="QBA73" s="705"/>
      <c r="QBB73" s="799"/>
      <c r="QBC73" s="800"/>
      <c r="QBD73" s="800"/>
      <c r="QBE73" s="800"/>
      <c r="QBF73" s="800"/>
      <c r="QBG73" s="800"/>
      <c r="QBH73" s="705"/>
      <c r="QBI73" s="799"/>
      <c r="QBJ73" s="800"/>
      <c r="QBK73" s="800"/>
      <c r="QBL73" s="800"/>
      <c r="QBM73" s="800"/>
      <c r="QBN73" s="800"/>
      <c r="QBO73" s="705"/>
      <c r="QBP73" s="799"/>
      <c r="QBQ73" s="800"/>
      <c r="QBR73" s="800"/>
      <c r="QBS73" s="800"/>
      <c r="QBT73" s="800"/>
      <c r="QBU73" s="800"/>
      <c r="QBV73" s="705"/>
      <c r="QBW73" s="799"/>
      <c r="QBX73" s="800"/>
      <c r="QBY73" s="800"/>
      <c r="QBZ73" s="800"/>
      <c r="QCA73" s="800"/>
      <c r="QCB73" s="800"/>
      <c r="QCC73" s="705"/>
      <c r="QCD73" s="799"/>
      <c r="QCE73" s="800"/>
      <c r="QCF73" s="800"/>
      <c r="QCG73" s="800"/>
      <c r="QCH73" s="800"/>
      <c r="QCI73" s="800"/>
      <c r="QCJ73" s="705"/>
      <c r="QCK73" s="799"/>
      <c r="QCL73" s="800"/>
      <c r="QCM73" s="800"/>
      <c r="QCN73" s="800"/>
      <c r="QCO73" s="800"/>
      <c r="QCP73" s="800"/>
      <c r="QCQ73" s="705"/>
      <c r="QCR73" s="799"/>
      <c r="QCS73" s="800"/>
      <c r="QCT73" s="800"/>
      <c r="QCU73" s="800"/>
      <c r="QCV73" s="800"/>
      <c r="QCW73" s="800"/>
      <c r="QCX73" s="705"/>
      <c r="QCY73" s="799"/>
      <c r="QCZ73" s="800"/>
      <c r="QDA73" s="800"/>
      <c r="QDB73" s="800"/>
      <c r="QDC73" s="800"/>
      <c r="QDD73" s="800"/>
      <c r="QDE73" s="705"/>
      <c r="QDF73" s="799"/>
      <c r="QDG73" s="800"/>
      <c r="QDH73" s="800"/>
      <c r="QDI73" s="800"/>
      <c r="QDJ73" s="800"/>
      <c r="QDK73" s="800"/>
      <c r="QDL73" s="705"/>
      <c r="QDM73" s="799"/>
      <c r="QDN73" s="800"/>
      <c r="QDO73" s="800"/>
      <c r="QDP73" s="800"/>
      <c r="QDQ73" s="800"/>
      <c r="QDR73" s="800"/>
      <c r="QDS73" s="705"/>
      <c r="QDT73" s="799"/>
      <c r="QDU73" s="800"/>
      <c r="QDV73" s="800"/>
      <c r="QDW73" s="800"/>
      <c r="QDX73" s="800"/>
      <c r="QDY73" s="800"/>
      <c r="QDZ73" s="705"/>
      <c r="QEA73" s="799"/>
      <c r="QEB73" s="800"/>
      <c r="QEC73" s="800"/>
      <c r="QED73" s="800"/>
      <c r="QEE73" s="800"/>
      <c r="QEF73" s="800"/>
      <c r="QEG73" s="705"/>
      <c r="QEH73" s="799"/>
      <c r="QEI73" s="800"/>
      <c r="QEJ73" s="800"/>
      <c r="QEK73" s="800"/>
      <c r="QEL73" s="800"/>
      <c r="QEM73" s="800"/>
      <c r="QEN73" s="705"/>
      <c r="QEO73" s="799"/>
      <c r="QEP73" s="800"/>
      <c r="QEQ73" s="800"/>
      <c r="QER73" s="800"/>
      <c r="QES73" s="800"/>
      <c r="QET73" s="800"/>
      <c r="QEU73" s="705"/>
      <c r="QEV73" s="799"/>
      <c r="QEW73" s="800"/>
      <c r="QEX73" s="800"/>
      <c r="QEY73" s="800"/>
      <c r="QEZ73" s="800"/>
      <c r="QFA73" s="800"/>
      <c r="QFB73" s="705"/>
      <c r="QFC73" s="799"/>
      <c r="QFD73" s="800"/>
      <c r="QFE73" s="800"/>
      <c r="QFF73" s="800"/>
      <c r="QFG73" s="800"/>
      <c r="QFH73" s="800"/>
      <c r="QFI73" s="705"/>
      <c r="QFJ73" s="799"/>
      <c r="QFK73" s="800"/>
      <c r="QFL73" s="800"/>
      <c r="QFM73" s="800"/>
      <c r="QFN73" s="800"/>
      <c r="QFO73" s="800"/>
      <c r="QFP73" s="705"/>
      <c r="QFQ73" s="799"/>
      <c r="QFR73" s="800"/>
      <c r="QFS73" s="800"/>
      <c r="QFT73" s="800"/>
      <c r="QFU73" s="800"/>
      <c r="QFV73" s="800"/>
      <c r="QFW73" s="705"/>
      <c r="QFX73" s="799"/>
      <c r="QFY73" s="800"/>
      <c r="QFZ73" s="800"/>
      <c r="QGA73" s="800"/>
      <c r="QGB73" s="800"/>
      <c r="QGC73" s="800"/>
      <c r="QGD73" s="705"/>
      <c r="QGE73" s="799"/>
      <c r="QGF73" s="800"/>
      <c r="QGG73" s="800"/>
      <c r="QGH73" s="800"/>
      <c r="QGI73" s="800"/>
      <c r="QGJ73" s="800"/>
      <c r="QGK73" s="705"/>
      <c r="QGL73" s="799"/>
      <c r="QGM73" s="800"/>
      <c r="QGN73" s="800"/>
      <c r="QGO73" s="800"/>
      <c r="QGP73" s="800"/>
      <c r="QGQ73" s="800"/>
      <c r="QGR73" s="705"/>
      <c r="QGS73" s="799"/>
      <c r="QGT73" s="800"/>
      <c r="QGU73" s="800"/>
      <c r="QGV73" s="800"/>
      <c r="QGW73" s="800"/>
      <c r="QGX73" s="800"/>
      <c r="QGY73" s="705"/>
      <c r="QGZ73" s="799"/>
      <c r="QHA73" s="800"/>
      <c r="QHB73" s="800"/>
      <c r="QHC73" s="800"/>
      <c r="QHD73" s="800"/>
      <c r="QHE73" s="800"/>
      <c r="QHF73" s="705"/>
      <c r="QHG73" s="799"/>
      <c r="QHH73" s="800"/>
      <c r="QHI73" s="800"/>
      <c r="QHJ73" s="800"/>
      <c r="QHK73" s="800"/>
      <c r="QHL73" s="800"/>
      <c r="QHM73" s="705"/>
      <c r="QHN73" s="799"/>
      <c r="QHO73" s="800"/>
      <c r="QHP73" s="800"/>
      <c r="QHQ73" s="800"/>
      <c r="QHR73" s="800"/>
      <c r="QHS73" s="800"/>
      <c r="QHT73" s="705"/>
      <c r="QHU73" s="799"/>
      <c r="QHV73" s="800"/>
      <c r="QHW73" s="800"/>
      <c r="QHX73" s="800"/>
      <c r="QHY73" s="800"/>
      <c r="QHZ73" s="800"/>
      <c r="QIA73" s="705"/>
      <c r="QIB73" s="799"/>
      <c r="QIC73" s="800"/>
      <c r="QID73" s="800"/>
      <c r="QIE73" s="800"/>
      <c r="QIF73" s="800"/>
      <c r="QIG73" s="800"/>
      <c r="QIH73" s="705"/>
      <c r="QII73" s="799"/>
      <c r="QIJ73" s="800"/>
      <c r="QIK73" s="800"/>
      <c r="QIL73" s="800"/>
      <c r="QIM73" s="800"/>
      <c r="QIN73" s="800"/>
      <c r="QIO73" s="705"/>
      <c r="QIP73" s="799"/>
      <c r="QIQ73" s="800"/>
      <c r="QIR73" s="800"/>
      <c r="QIS73" s="800"/>
      <c r="QIT73" s="800"/>
      <c r="QIU73" s="800"/>
      <c r="QIV73" s="705"/>
      <c r="QIW73" s="799"/>
      <c r="QIX73" s="800"/>
      <c r="QIY73" s="800"/>
      <c r="QIZ73" s="800"/>
      <c r="QJA73" s="800"/>
      <c r="QJB73" s="800"/>
      <c r="QJC73" s="705"/>
      <c r="QJD73" s="799"/>
      <c r="QJE73" s="800"/>
      <c r="QJF73" s="800"/>
      <c r="QJG73" s="800"/>
      <c r="QJH73" s="800"/>
      <c r="QJI73" s="800"/>
      <c r="QJJ73" s="705"/>
      <c r="QJK73" s="799"/>
      <c r="QJL73" s="800"/>
      <c r="QJM73" s="800"/>
      <c r="QJN73" s="800"/>
      <c r="QJO73" s="800"/>
      <c r="QJP73" s="800"/>
      <c r="QJQ73" s="705"/>
      <c r="QJR73" s="799"/>
      <c r="QJS73" s="800"/>
      <c r="QJT73" s="800"/>
      <c r="QJU73" s="800"/>
      <c r="QJV73" s="800"/>
      <c r="QJW73" s="800"/>
      <c r="QJX73" s="705"/>
      <c r="QJY73" s="799"/>
      <c r="QJZ73" s="800"/>
      <c r="QKA73" s="800"/>
      <c r="QKB73" s="800"/>
      <c r="QKC73" s="800"/>
      <c r="QKD73" s="800"/>
      <c r="QKE73" s="705"/>
      <c r="QKF73" s="799"/>
      <c r="QKG73" s="800"/>
      <c r="QKH73" s="800"/>
      <c r="QKI73" s="800"/>
      <c r="QKJ73" s="800"/>
      <c r="QKK73" s="800"/>
      <c r="QKL73" s="705"/>
      <c r="QKM73" s="799"/>
      <c r="QKN73" s="800"/>
      <c r="QKO73" s="800"/>
      <c r="QKP73" s="800"/>
      <c r="QKQ73" s="800"/>
      <c r="QKR73" s="800"/>
      <c r="QKS73" s="705"/>
      <c r="QKT73" s="799"/>
      <c r="QKU73" s="800"/>
      <c r="QKV73" s="800"/>
      <c r="QKW73" s="800"/>
      <c r="QKX73" s="800"/>
      <c r="QKY73" s="800"/>
      <c r="QKZ73" s="705"/>
      <c r="QLA73" s="799"/>
      <c r="QLB73" s="800"/>
      <c r="QLC73" s="800"/>
      <c r="QLD73" s="800"/>
      <c r="QLE73" s="800"/>
      <c r="QLF73" s="800"/>
      <c r="QLG73" s="705"/>
      <c r="QLH73" s="799"/>
      <c r="QLI73" s="800"/>
      <c r="QLJ73" s="800"/>
      <c r="QLK73" s="800"/>
      <c r="QLL73" s="800"/>
      <c r="QLM73" s="800"/>
      <c r="QLN73" s="705"/>
      <c r="QLO73" s="799"/>
      <c r="QLP73" s="800"/>
      <c r="QLQ73" s="800"/>
      <c r="QLR73" s="800"/>
      <c r="QLS73" s="800"/>
      <c r="QLT73" s="800"/>
      <c r="QLU73" s="705"/>
      <c r="QLV73" s="799"/>
      <c r="QLW73" s="800"/>
      <c r="QLX73" s="800"/>
      <c r="QLY73" s="800"/>
      <c r="QLZ73" s="800"/>
      <c r="QMA73" s="800"/>
      <c r="QMB73" s="705"/>
      <c r="QMC73" s="799"/>
      <c r="QMD73" s="800"/>
      <c r="QME73" s="800"/>
      <c r="QMF73" s="800"/>
      <c r="QMG73" s="800"/>
      <c r="QMH73" s="800"/>
      <c r="QMI73" s="705"/>
      <c r="QMJ73" s="799"/>
      <c r="QMK73" s="800"/>
      <c r="QML73" s="800"/>
      <c r="QMM73" s="800"/>
      <c r="QMN73" s="800"/>
      <c r="QMO73" s="800"/>
      <c r="QMP73" s="705"/>
      <c r="QMQ73" s="799"/>
      <c r="QMR73" s="800"/>
      <c r="QMS73" s="800"/>
      <c r="QMT73" s="800"/>
      <c r="QMU73" s="800"/>
      <c r="QMV73" s="800"/>
      <c r="QMW73" s="705"/>
      <c r="QMX73" s="799"/>
      <c r="QMY73" s="800"/>
      <c r="QMZ73" s="800"/>
      <c r="QNA73" s="800"/>
      <c r="QNB73" s="800"/>
      <c r="QNC73" s="800"/>
      <c r="QND73" s="705"/>
      <c r="QNE73" s="799"/>
      <c r="QNF73" s="800"/>
      <c r="QNG73" s="800"/>
      <c r="QNH73" s="800"/>
      <c r="QNI73" s="800"/>
      <c r="QNJ73" s="800"/>
      <c r="QNK73" s="705"/>
      <c r="QNL73" s="799"/>
      <c r="QNM73" s="800"/>
      <c r="QNN73" s="800"/>
      <c r="QNO73" s="800"/>
      <c r="QNP73" s="800"/>
      <c r="QNQ73" s="800"/>
      <c r="QNR73" s="705"/>
      <c r="QNS73" s="799"/>
      <c r="QNT73" s="800"/>
      <c r="QNU73" s="800"/>
      <c r="QNV73" s="800"/>
      <c r="QNW73" s="800"/>
      <c r="QNX73" s="800"/>
      <c r="QNY73" s="705"/>
      <c r="QNZ73" s="799"/>
      <c r="QOA73" s="800"/>
      <c r="QOB73" s="800"/>
      <c r="QOC73" s="800"/>
      <c r="QOD73" s="800"/>
      <c r="QOE73" s="800"/>
      <c r="QOF73" s="705"/>
      <c r="QOG73" s="799"/>
      <c r="QOH73" s="800"/>
      <c r="QOI73" s="800"/>
      <c r="QOJ73" s="800"/>
      <c r="QOK73" s="800"/>
      <c r="QOL73" s="800"/>
      <c r="QOM73" s="705"/>
      <c r="QON73" s="799"/>
      <c r="QOO73" s="800"/>
      <c r="QOP73" s="800"/>
      <c r="QOQ73" s="800"/>
      <c r="QOR73" s="800"/>
      <c r="QOS73" s="800"/>
      <c r="QOT73" s="705"/>
      <c r="QOU73" s="799"/>
      <c r="QOV73" s="800"/>
      <c r="QOW73" s="800"/>
      <c r="QOX73" s="800"/>
      <c r="QOY73" s="800"/>
      <c r="QOZ73" s="800"/>
      <c r="QPA73" s="705"/>
      <c r="QPB73" s="799"/>
      <c r="QPC73" s="800"/>
      <c r="QPD73" s="800"/>
      <c r="QPE73" s="800"/>
      <c r="QPF73" s="800"/>
      <c r="QPG73" s="800"/>
      <c r="QPH73" s="705"/>
      <c r="QPI73" s="799"/>
      <c r="QPJ73" s="800"/>
      <c r="QPK73" s="800"/>
      <c r="QPL73" s="800"/>
      <c r="QPM73" s="800"/>
      <c r="QPN73" s="800"/>
      <c r="QPO73" s="705"/>
      <c r="QPP73" s="799"/>
      <c r="QPQ73" s="800"/>
      <c r="QPR73" s="800"/>
      <c r="QPS73" s="800"/>
      <c r="QPT73" s="800"/>
      <c r="QPU73" s="800"/>
      <c r="QPV73" s="705"/>
      <c r="QPW73" s="799"/>
      <c r="QPX73" s="800"/>
      <c r="QPY73" s="800"/>
      <c r="QPZ73" s="800"/>
      <c r="QQA73" s="800"/>
      <c r="QQB73" s="800"/>
      <c r="QQC73" s="705"/>
      <c r="QQD73" s="799"/>
      <c r="QQE73" s="800"/>
      <c r="QQF73" s="800"/>
      <c r="QQG73" s="800"/>
      <c r="QQH73" s="800"/>
      <c r="QQI73" s="800"/>
      <c r="QQJ73" s="705"/>
      <c r="QQK73" s="799"/>
      <c r="QQL73" s="800"/>
      <c r="QQM73" s="800"/>
      <c r="QQN73" s="800"/>
      <c r="QQO73" s="800"/>
      <c r="QQP73" s="800"/>
      <c r="QQQ73" s="705"/>
      <c r="QQR73" s="799"/>
      <c r="QQS73" s="800"/>
      <c r="QQT73" s="800"/>
      <c r="QQU73" s="800"/>
      <c r="QQV73" s="800"/>
      <c r="QQW73" s="800"/>
      <c r="QQX73" s="705"/>
      <c r="QQY73" s="799"/>
      <c r="QQZ73" s="800"/>
      <c r="QRA73" s="800"/>
      <c r="QRB73" s="800"/>
      <c r="QRC73" s="800"/>
      <c r="QRD73" s="800"/>
      <c r="QRE73" s="705"/>
      <c r="QRF73" s="799"/>
      <c r="QRG73" s="800"/>
      <c r="QRH73" s="800"/>
      <c r="QRI73" s="800"/>
      <c r="QRJ73" s="800"/>
      <c r="QRK73" s="800"/>
      <c r="QRL73" s="705"/>
      <c r="QRM73" s="799"/>
      <c r="QRN73" s="800"/>
      <c r="QRO73" s="800"/>
      <c r="QRP73" s="800"/>
      <c r="QRQ73" s="800"/>
      <c r="QRR73" s="800"/>
      <c r="QRS73" s="705"/>
      <c r="QRT73" s="799"/>
      <c r="QRU73" s="800"/>
      <c r="QRV73" s="800"/>
      <c r="QRW73" s="800"/>
      <c r="QRX73" s="800"/>
      <c r="QRY73" s="800"/>
      <c r="QRZ73" s="705"/>
      <c r="QSA73" s="799"/>
      <c r="QSB73" s="800"/>
      <c r="QSC73" s="800"/>
      <c r="QSD73" s="800"/>
      <c r="QSE73" s="800"/>
      <c r="QSF73" s="800"/>
      <c r="QSG73" s="705"/>
      <c r="QSH73" s="799"/>
      <c r="QSI73" s="800"/>
      <c r="QSJ73" s="800"/>
      <c r="QSK73" s="800"/>
      <c r="QSL73" s="800"/>
      <c r="QSM73" s="800"/>
      <c r="QSN73" s="705"/>
      <c r="QSO73" s="799"/>
      <c r="QSP73" s="800"/>
      <c r="QSQ73" s="800"/>
      <c r="QSR73" s="800"/>
      <c r="QSS73" s="800"/>
      <c r="QST73" s="800"/>
      <c r="QSU73" s="705"/>
      <c r="QSV73" s="799"/>
      <c r="QSW73" s="800"/>
      <c r="QSX73" s="800"/>
      <c r="QSY73" s="800"/>
      <c r="QSZ73" s="800"/>
      <c r="QTA73" s="800"/>
      <c r="QTB73" s="705"/>
      <c r="QTC73" s="799"/>
      <c r="QTD73" s="800"/>
      <c r="QTE73" s="800"/>
      <c r="QTF73" s="800"/>
      <c r="QTG73" s="800"/>
      <c r="QTH73" s="800"/>
      <c r="QTI73" s="705"/>
      <c r="QTJ73" s="799"/>
      <c r="QTK73" s="800"/>
      <c r="QTL73" s="800"/>
      <c r="QTM73" s="800"/>
      <c r="QTN73" s="800"/>
      <c r="QTO73" s="800"/>
      <c r="QTP73" s="705"/>
      <c r="QTQ73" s="799"/>
      <c r="QTR73" s="800"/>
      <c r="QTS73" s="800"/>
      <c r="QTT73" s="800"/>
      <c r="QTU73" s="800"/>
      <c r="QTV73" s="800"/>
      <c r="QTW73" s="705"/>
      <c r="QTX73" s="799"/>
      <c r="QTY73" s="800"/>
      <c r="QTZ73" s="800"/>
      <c r="QUA73" s="800"/>
      <c r="QUB73" s="800"/>
      <c r="QUC73" s="800"/>
      <c r="QUD73" s="705"/>
      <c r="QUE73" s="799"/>
      <c r="QUF73" s="800"/>
      <c r="QUG73" s="800"/>
      <c r="QUH73" s="800"/>
      <c r="QUI73" s="800"/>
      <c r="QUJ73" s="800"/>
      <c r="QUK73" s="705"/>
      <c r="QUL73" s="799"/>
      <c r="QUM73" s="800"/>
      <c r="QUN73" s="800"/>
      <c r="QUO73" s="800"/>
      <c r="QUP73" s="800"/>
      <c r="QUQ73" s="800"/>
      <c r="QUR73" s="705"/>
      <c r="QUS73" s="799"/>
      <c r="QUT73" s="800"/>
      <c r="QUU73" s="800"/>
      <c r="QUV73" s="800"/>
      <c r="QUW73" s="800"/>
      <c r="QUX73" s="800"/>
      <c r="QUY73" s="705"/>
      <c r="QUZ73" s="799"/>
      <c r="QVA73" s="800"/>
      <c r="QVB73" s="800"/>
      <c r="QVC73" s="800"/>
      <c r="QVD73" s="800"/>
      <c r="QVE73" s="800"/>
      <c r="QVF73" s="705"/>
      <c r="QVG73" s="799"/>
      <c r="QVH73" s="800"/>
      <c r="QVI73" s="800"/>
      <c r="QVJ73" s="800"/>
      <c r="QVK73" s="800"/>
      <c r="QVL73" s="800"/>
      <c r="QVM73" s="705"/>
      <c r="QVN73" s="799"/>
      <c r="QVO73" s="800"/>
      <c r="QVP73" s="800"/>
      <c r="QVQ73" s="800"/>
      <c r="QVR73" s="800"/>
      <c r="QVS73" s="800"/>
      <c r="QVT73" s="705"/>
      <c r="QVU73" s="799"/>
      <c r="QVV73" s="800"/>
      <c r="QVW73" s="800"/>
      <c r="QVX73" s="800"/>
      <c r="QVY73" s="800"/>
      <c r="QVZ73" s="800"/>
      <c r="QWA73" s="705"/>
      <c r="QWB73" s="799"/>
      <c r="QWC73" s="800"/>
      <c r="QWD73" s="800"/>
      <c r="QWE73" s="800"/>
      <c r="QWF73" s="800"/>
      <c r="QWG73" s="800"/>
      <c r="QWH73" s="705"/>
      <c r="QWI73" s="799"/>
      <c r="QWJ73" s="800"/>
      <c r="QWK73" s="800"/>
      <c r="QWL73" s="800"/>
      <c r="QWM73" s="800"/>
      <c r="QWN73" s="800"/>
      <c r="QWO73" s="705"/>
      <c r="QWP73" s="799"/>
      <c r="QWQ73" s="800"/>
      <c r="QWR73" s="800"/>
      <c r="QWS73" s="800"/>
      <c r="QWT73" s="800"/>
      <c r="QWU73" s="800"/>
      <c r="QWV73" s="705"/>
      <c r="QWW73" s="799"/>
      <c r="QWX73" s="800"/>
      <c r="QWY73" s="800"/>
      <c r="QWZ73" s="800"/>
      <c r="QXA73" s="800"/>
      <c r="QXB73" s="800"/>
      <c r="QXC73" s="705"/>
      <c r="QXD73" s="799"/>
      <c r="QXE73" s="800"/>
      <c r="QXF73" s="800"/>
      <c r="QXG73" s="800"/>
      <c r="QXH73" s="800"/>
      <c r="QXI73" s="800"/>
      <c r="QXJ73" s="705"/>
      <c r="QXK73" s="799"/>
      <c r="QXL73" s="800"/>
      <c r="QXM73" s="800"/>
      <c r="QXN73" s="800"/>
      <c r="QXO73" s="800"/>
      <c r="QXP73" s="800"/>
      <c r="QXQ73" s="705"/>
      <c r="QXR73" s="799"/>
      <c r="QXS73" s="800"/>
      <c r="QXT73" s="800"/>
      <c r="QXU73" s="800"/>
      <c r="QXV73" s="800"/>
      <c r="QXW73" s="800"/>
      <c r="QXX73" s="705"/>
      <c r="QXY73" s="799"/>
      <c r="QXZ73" s="800"/>
      <c r="QYA73" s="800"/>
      <c r="QYB73" s="800"/>
      <c r="QYC73" s="800"/>
      <c r="QYD73" s="800"/>
      <c r="QYE73" s="705"/>
      <c r="QYF73" s="799"/>
      <c r="QYG73" s="800"/>
      <c r="QYH73" s="800"/>
      <c r="QYI73" s="800"/>
      <c r="QYJ73" s="800"/>
      <c r="QYK73" s="800"/>
      <c r="QYL73" s="705"/>
      <c r="QYM73" s="799"/>
      <c r="QYN73" s="800"/>
      <c r="QYO73" s="800"/>
      <c r="QYP73" s="800"/>
      <c r="QYQ73" s="800"/>
      <c r="QYR73" s="800"/>
      <c r="QYS73" s="705"/>
      <c r="QYT73" s="799"/>
      <c r="QYU73" s="800"/>
      <c r="QYV73" s="800"/>
      <c r="QYW73" s="800"/>
      <c r="QYX73" s="800"/>
      <c r="QYY73" s="800"/>
      <c r="QYZ73" s="705"/>
      <c r="QZA73" s="799"/>
      <c r="QZB73" s="800"/>
      <c r="QZC73" s="800"/>
      <c r="QZD73" s="800"/>
      <c r="QZE73" s="800"/>
      <c r="QZF73" s="800"/>
      <c r="QZG73" s="705"/>
      <c r="QZH73" s="799"/>
      <c r="QZI73" s="800"/>
      <c r="QZJ73" s="800"/>
      <c r="QZK73" s="800"/>
      <c r="QZL73" s="800"/>
      <c r="QZM73" s="800"/>
      <c r="QZN73" s="705"/>
      <c r="QZO73" s="799"/>
      <c r="QZP73" s="800"/>
      <c r="QZQ73" s="800"/>
      <c r="QZR73" s="800"/>
      <c r="QZS73" s="800"/>
      <c r="QZT73" s="800"/>
      <c r="QZU73" s="705"/>
      <c r="QZV73" s="799"/>
      <c r="QZW73" s="800"/>
      <c r="QZX73" s="800"/>
      <c r="QZY73" s="800"/>
      <c r="QZZ73" s="800"/>
      <c r="RAA73" s="800"/>
      <c r="RAB73" s="705"/>
      <c r="RAC73" s="799"/>
      <c r="RAD73" s="800"/>
      <c r="RAE73" s="800"/>
      <c r="RAF73" s="800"/>
      <c r="RAG73" s="800"/>
      <c r="RAH73" s="800"/>
      <c r="RAI73" s="705"/>
      <c r="RAJ73" s="799"/>
      <c r="RAK73" s="800"/>
      <c r="RAL73" s="800"/>
      <c r="RAM73" s="800"/>
      <c r="RAN73" s="800"/>
      <c r="RAO73" s="800"/>
      <c r="RAP73" s="705"/>
      <c r="RAQ73" s="799"/>
      <c r="RAR73" s="800"/>
      <c r="RAS73" s="800"/>
      <c r="RAT73" s="800"/>
      <c r="RAU73" s="800"/>
      <c r="RAV73" s="800"/>
      <c r="RAW73" s="705"/>
      <c r="RAX73" s="799"/>
      <c r="RAY73" s="800"/>
      <c r="RAZ73" s="800"/>
      <c r="RBA73" s="800"/>
      <c r="RBB73" s="800"/>
      <c r="RBC73" s="800"/>
      <c r="RBD73" s="705"/>
      <c r="RBE73" s="799"/>
      <c r="RBF73" s="800"/>
      <c r="RBG73" s="800"/>
      <c r="RBH73" s="800"/>
      <c r="RBI73" s="800"/>
      <c r="RBJ73" s="800"/>
      <c r="RBK73" s="705"/>
      <c r="RBL73" s="799"/>
      <c r="RBM73" s="800"/>
      <c r="RBN73" s="800"/>
      <c r="RBO73" s="800"/>
      <c r="RBP73" s="800"/>
      <c r="RBQ73" s="800"/>
      <c r="RBR73" s="705"/>
      <c r="RBS73" s="799"/>
      <c r="RBT73" s="800"/>
      <c r="RBU73" s="800"/>
      <c r="RBV73" s="800"/>
      <c r="RBW73" s="800"/>
      <c r="RBX73" s="800"/>
      <c r="RBY73" s="705"/>
      <c r="RBZ73" s="799"/>
      <c r="RCA73" s="800"/>
      <c r="RCB73" s="800"/>
      <c r="RCC73" s="800"/>
      <c r="RCD73" s="800"/>
      <c r="RCE73" s="800"/>
      <c r="RCF73" s="705"/>
      <c r="RCG73" s="799"/>
      <c r="RCH73" s="800"/>
      <c r="RCI73" s="800"/>
      <c r="RCJ73" s="800"/>
      <c r="RCK73" s="800"/>
      <c r="RCL73" s="800"/>
      <c r="RCM73" s="705"/>
      <c r="RCN73" s="799"/>
      <c r="RCO73" s="800"/>
      <c r="RCP73" s="800"/>
      <c r="RCQ73" s="800"/>
      <c r="RCR73" s="800"/>
      <c r="RCS73" s="800"/>
      <c r="RCT73" s="705"/>
      <c r="RCU73" s="799"/>
      <c r="RCV73" s="800"/>
      <c r="RCW73" s="800"/>
      <c r="RCX73" s="800"/>
      <c r="RCY73" s="800"/>
      <c r="RCZ73" s="800"/>
      <c r="RDA73" s="705"/>
      <c r="RDB73" s="799"/>
      <c r="RDC73" s="800"/>
      <c r="RDD73" s="800"/>
      <c r="RDE73" s="800"/>
      <c r="RDF73" s="800"/>
      <c r="RDG73" s="800"/>
      <c r="RDH73" s="705"/>
      <c r="RDI73" s="799"/>
      <c r="RDJ73" s="800"/>
      <c r="RDK73" s="800"/>
      <c r="RDL73" s="800"/>
      <c r="RDM73" s="800"/>
      <c r="RDN73" s="800"/>
      <c r="RDO73" s="705"/>
      <c r="RDP73" s="799"/>
      <c r="RDQ73" s="800"/>
      <c r="RDR73" s="800"/>
      <c r="RDS73" s="800"/>
      <c r="RDT73" s="800"/>
      <c r="RDU73" s="800"/>
      <c r="RDV73" s="705"/>
      <c r="RDW73" s="799"/>
      <c r="RDX73" s="800"/>
      <c r="RDY73" s="800"/>
      <c r="RDZ73" s="800"/>
      <c r="REA73" s="800"/>
      <c r="REB73" s="800"/>
      <c r="REC73" s="705"/>
      <c r="RED73" s="799"/>
      <c r="REE73" s="800"/>
      <c r="REF73" s="800"/>
      <c r="REG73" s="800"/>
      <c r="REH73" s="800"/>
      <c r="REI73" s="800"/>
      <c r="REJ73" s="705"/>
      <c r="REK73" s="799"/>
      <c r="REL73" s="800"/>
      <c r="REM73" s="800"/>
      <c r="REN73" s="800"/>
      <c r="REO73" s="800"/>
      <c r="REP73" s="800"/>
      <c r="REQ73" s="705"/>
      <c r="RER73" s="799"/>
      <c r="RES73" s="800"/>
      <c r="RET73" s="800"/>
      <c r="REU73" s="800"/>
      <c r="REV73" s="800"/>
      <c r="REW73" s="800"/>
      <c r="REX73" s="705"/>
      <c r="REY73" s="799"/>
      <c r="REZ73" s="800"/>
      <c r="RFA73" s="800"/>
      <c r="RFB73" s="800"/>
      <c r="RFC73" s="800"/>
      <c r="RFD73" s="800"/>
      <c r="RFE73" s="705"/>
      <c r="RFF73" s="799"/>
      <c r="RFG73" s="800"/>
      <c r="RFH73" s="800"/>
      <c r="RFI73" s="800"/>
      <c r="RFJ73" s="800"/>
      <c r="RFK73" s="800"/>
      <c r="RFL73" s="705"/>
      <c r="RFM73" s="799"/>
      <c r="RFN73" s="800"/>
      <c r="RFO73" s="800"/>
      <c r="RFP73" s="800"/>
      <c r="RFQ73" s="800"/>
      <c r="RFR73" s="800"/>
      <c r="RFS73" s="705"/>
      <c r="RFT73" s="799"/>
      <c r="RFU73" s="800"/>
      <c r="RFV73" s="800"/>
      <c r="RFW73" s="800"/>
      <c r="RFX73" s="800"/>
      <c r="RFY73" s="800"/>
      <c r="RFZ73" s="705"/>
      <c r="RGA73" s="799"/>
      <c r="RGB73" s="800"/>
      <c r="RGC73" s="800"/>
      <c r="RGD73" s="800"/>
      <c r="RGE73" s="800"/>
      <c r="RGF73" s="800"/>
      <c r="RGG73" s="705"/>
      <c r="RGH73" s="799"/>
      <c r="RGI73" s="800"/>
      <c r="RGJ73" s="800"/>
      <c r="RGK73" s="800"/>
      <c r="RGL73" s="800"/>
      <c r="RGM73" s="800"/>
      <c r="RGN73" s="705"/>
      <c r="RGO73" s="799"/>
      <c r="RGP73" s="800"/>
      <c r="RGQ73" s="800"/>
      <c r="RGR73" s="800"/>
      <c r="RGS73" s="800"/>
      <c r="RGT73" s="800"/>
      <c r="RGU73" s="705"/>
      <c r="RGV73" s="799"/>
      <c r="RGW73" s="800"/>
      <c r="RGX73" s="800"/>
      <c r="RGY73" s="800"/>
      <c r="RGZ73" s="800"/>
      <c r="RHA73" s="800"/>
      <c r="RHB73" s="705"/>
      <c r="RHC73" s="799"/>
      <c r="RHD73" s="800"/>
      <c r="RHE73" s="800"/>
      <c r="RHF73" s="800"/>
      <c r="RHG73" s="800"/>
      <c r="RHH73" s="800"/>
      <c r="RHI73" s="705"/>
      <c r="RHJ73" s="799"/>
      <c r="RHK73" s="800"/>
      <c r="RHL73" s="800"/>
      <c r="RHM73" s="800"/>
      <c r="RHN73" s="800"/>
      <c r="RHO73" s="800"/>
      <c r="RHP73" s="705"/>
      <c r="RHQ73" s="799"/>
      <c r="RHR73" s="800"/>
      <c r="RHS73" s="800"/>
      <c r="RHT73" s="800"/>
      <c r="RHU73" s="800"/>
      <c r="RHV73" s="800"/>
      <c r="RHW73" s="705"/>
      <c r="RHX73" s="799"/>
      <c r="RHY73" s="800"/>
      <c r="RHZ73" s="800"/>
      <c r="RIA73" s="800"/>
      <c r="RIB73" s="800"/>
      <c r="RIC73" s="800"/>
      <c r="RID73" s="705"/>
      <c r="RIE73" s="799"/>
      <c r="RIF73" s="800"/>
      <c r="RIG73" s="800"/>
      <c r="RIH73" s="800"/>
      <c r="RII73" s="800"/>
      <c r="RIJ73" s="800"/>
      <c r="RIK73" s="705"/>
      <c r="RIL73" s="799"/>
      <c r="RIM73" s="800"/>
      <c r="RIN73" s="800"/>
      <c r="RIO73" s="800"/>
      <c r="RIP73" s="800"/>
      <c r="RIQ73" s="800"/>
      <c r="RIR73" s="705"/>
      <c r="RIS73" s="799"/>
      <c r="RIT73" s="800"/>
      <c r="RIU73" s="800"/>
      <c r="RIV73" s="800"/>
      <c r="RIW73" s="800"/>
      <c r="RIX73" s="800"/>
      <c r="RIY73" s="705"/>
      <c r="RIZ73" s="799"/>
      <c r="RJA73" s="800"/>
      <c r="RJB73" s="800"/>
      <c r="RJC73" s="800"/>
      <c r="RJD73" s="800"/>
      <c r="RJE73" s="800"/>
      <c r="RJF73" s="705"/>
      <c r="RJG73" s="799"/>
      <c r="RJH73" s="800"/>
      <c r="RJI73" s="800"/>
      <c r="RJJ73" s="800"/>
      <c r="RJK73" s="800"/>
      <c r="RJL73" s="800"/>
      <c r="RJM73" s="705"/>
      <c r="RJN73" s="799"/>
      <c r="RJO73" s="800"/>
      <c r="RJP73" s="800"/>
      <c r="RJQ73" s="800"/>
      <c r="RJR73" s="800"/>
      <c r="RJS73" s="800"/>
      <c r="RJT73" s="705"/>
      <c r="RJU73" s="799"/>
      <c r="RJV73" s="800"/>
      <c r="RJW73" s="800"/>
      <c r="RJX73" s="800"/>
      <c r="RJY73" s="800"/>
      <c r="RJZ73" s="800"/>
      <c r="RKA73" s="705"/>
      <c r="RKB73" s="799"/>
      <c r="RKC73" s="800"/>
      <c r="RKD73" s="800"/>
      <c r="RKE73" s="800"/>
      <c r="RKF73" s="800"/>
      <c r="RKG73" s="800"/>
      <c r="RKH73" s="705"/>
      <c r="RKI73" s="799"/>
      <c r="RKJ73" s="800"/>
      <c r="RKK73" s="800"/>
      <c r="RKL73" s="800"/>
      <c r="RKM73" s="800"/>
      <c r="RKN73" s="800"/>
      <c r="RKO73" s="705"/>
      <c r="RKP73" s="799"/>
      <c r="RKQ73" s="800"/>
      <c r="RKR73" s="800"/>
      <c r="RKS73" s="800"/>
      <c r="RKT73" s="800"/>
      <c r="RKU73" s="800"/>
      <c r="RKV73" s="705"/>
      <c r="RKW73" s="799"/>
      <c r="RKX73" s="800"/>
      <c r="RKY73" s="800"/>
      <c r="RKZ73" s="800"/>
      <c r="RLA73" s="800"/>
      <c r="RLB73" s="800"/>
      <c r="RLC73" s="705"/>
      <c r="RLD73" s="799"/>
      <c r="RLE73" s="800"/>
      <c r="RLF73" s="800"/>
      <c r="RLG73" s="800"/>
      <c r="RLH73" s="800"/>
      <c r="RLI73" s="800"/>
      <c r="RLJ73" s="705"/>
      <c r="RLK73" s="799"/>
      <c r="RLL73" s="800"/>
      <c r="RLM73" s="800"/>
      <c r="RLN73" s="800"/>
      <c r="RLO73" s="800"/>
      <c r="RLP73" s="800"/>
      <c r="RLQ73" s="705"/>
      <c r="RLR73" s="799"/>
      <c r="RLS73" s="800"/>
      <c r="RLT73" s="800"/>
      <c r="RLU73" s="800"/>
      <c r="RLV73" s="800"/>
      <c r="RLW73" s="800"/>
      <c r="RLX73" s="705"/>
      <c r="RLY73" s="799"/>
      <c r="RLZ73" s="800"/>
      <c r="RMA73" s="800"/>
      <c r="RMB73" s="800"/>
      <c r="RMC73" s="800"/>
      <c r="RMD73" s="800"/>
      <c r="RME73" s="705"/>
      <c r="RMF73" s="799"/>
      <c r="RMG73" s="800"/>
      <c r="RMH73" s="800"/>
      <c r="RMI73" s="800"/>
      <c r="RMJ73" s="800"/>
      <c r="RMK73" s="800"/>
      <c r="RML73" s="705"/>
      <c r="RMM73" s="799"/>
      <c r="RMN73" s="800"/>
      <c r="RMO73" s="800"/>
      <c r="RMP73" s="800"/>
      <c r="RMQ73" s="800"/>
      <c r="RMR73" s="800"/>
      <c r="RMS73" s="705"/>
      <c r="RMT73" s="799"/>
      <c r="RMU73" s="800"/>
      <c r="RMV73" s="800"/>
      <c r="RMW73" s="800"/>
      <c r="RMX73" s="800"/>
      <c r="RMY73" s="800"/>
      <c r="RMZ73" s="705"/>
      <c r="RNA73" s="799"/>
      <c r="RNB73" s="800"/>
      <c r="RNC73" s="800"/>
      <c r="RND73" s="800"/>
      <c r="RNE73" s="800"/>
      <c r="RNF73" s="800"/>
      <c r="RNG73" s="705"/>
      <c r="RNH73" s="799"/>
      <c r="RNI73" s="800"/>
      <c r="RNJ73" s="800"/>
      <c r="RNK73" s="800"/>
      <c r="RNL73" s="800"/>
      <c r="RNM73" s="800"/>
      <c r="RNN73" s="705"/>
      <c r="RNO73" s="799"/>
      <c r="RNP73" s="800"/>
      <c r="RNQ73" s="800"/>
      <c r="RNR73" s="800"/>
      <c r="RNS73" s="800"/>
      <c r="RNT73" s="800"/>
      <c r="RNU73" s="705"/>
      <c r="RNV73" s="799"/>
      <c r="RNW73" s="800"/>
      <c r="RNX73" s="800"/>
      <c r="RNY73" s="800"/>
      <c r="RNZ73" s="800"/>
      <c r="ROA73" s="800"/>
      <c r="ROB73" s="705"/>
      <c r="ROC73" s="799"/>
      <c r="ROD73" s="800"/>
      <c r="ROE73" s="800"/>
      <c r="ROF73" s="800"/>
      <c r="ROG73" s="800"/>
      <c r="ROH73" s="800"/>
      <c r="ROI73" s="705"/>
      <c r="ROJ73" s="799"/>
      <c r="ROK73" s="800"/>
      <c r="ROL73" s="800"/>
      <c r="ROM73" s="800"/>
      <c r="RON73" s="800"/>
      <c r="ROO73" s="800"/>
      <c r="ROP73" s="705"/>
      <c r="ROQ73" s="799"/>
      <c r="ROR73" s="800"/>
      <c r="ROS73" s="800"/>
      <c r="ROT73" s="800"/>
      <c r="ROU73" s="800"/>
      <c r="ROV73" s="800"/>
      <c r="ROW73" s="705"/>
      <c r="ROX73" s="799"/>
      <c r="ROY73" s="800"/>
      <c r="ROZ73" s="800"/>
      <c r="RPA73" s="800"/>
      <c r="RPB73" s="800"/>
      <c r="RPC73" s="800"/>
      <c r="RPD73" s="705"/>
      <c r="RPE73" s="799"/>
      <c r="RPF73" s="800"/>
      <c r="RPG73" s="800"/>
      <c r="RPH73" s="800"/>
      <c r="RPI73" s="800"/>
      <c r="RPJ73" s="800"/>
      <c r="RPK73" s="705"/>
      <c r="RPL73" s="799"/>
      <c r="RPM73" s="800"/>
      <c r="RPN73" s="800"/>
      <c r="RPO73" s="800"/>
      <c r="RPP73" s="800"/>
      <c r="RPQ73" s="800"/>
      <c r="RPR73" s="705"/>
      <c r="RPS73" s="799"/>
      <c r="RPT73" s="800"/>
      <c r="RPU73" s="800"/>
      <c r="RPV73" s="800"/>
      <c r="RPW73" s="800"/>
      <c r="RPX73" s="800"/>
      <c r="RPY73" s="705"/>
      <c r="RPZ73" s="799"/>
      <c r="RQA73" s="800"/>
      <c r="RQB73" s="800"/>
      <c r="RQC73" s="800"/>
      <c r="RQD73" s="800"/>
      <c r="RQE73" s="800"/>
      <c r="RQF73" s="705"/>
      <c r="RQG73" s="799"/>
      <c r="RQH73" s="800"/>
      <c r="RQI73" s="800"/>
      <c r="RQJ73" s="800"/>
      <c r="RQK73" s="800"/>
      <c r="RQL73" s="800"/>
      <c r="RQM73" s="705"/>
      <c r="RQN73" s="799"/>
      <c r="RQO73" s="800"/>
      <c r="RQP73" s="800"/>
      <c r="RQQ73" s="800"/>
      <c r="RQR73" s="800"/>
      <c r="RQS73" s="800"/>
      <c r="RQT73" s="705"/>
      <c r="RQU73" s="799"/>
      <c r="RQV73" s="800"/>
      <c r="RQW73" s="800"/>
      <c r="RQX73" s="800"/>
      <c r="RQY73" s="800"/>
      <c r="RQZ73" s="800"/>
      <c r="RRA73" s="705"/>
      <c r="RRB73" s="799"/>
      <c r="RRC73" s="800"/>
      <c r="RRD73" s="800"/>
      <c r="RRE73" s="800"/>
      <c r="RRF73" s="800"/>
      <c r="RRG73" s="800"/>
      <c r="RRH73" s="705"/>
      <c r="RRI73" s="799"/>
      <c r="RRJ73" s="800"/>
      <c r="RRK73" s="800"/>
      <c r="RRL73" s="800"/>
      <c r="RRM73" s="800"/>
      <c r="RRN73" s="800"/>
      <c r="RRO73" s="705"/>
      <c r="RRP73" s="799"/>
      <c r="RRQ73" s="800"/>
      <c r="RRR73" s="800"/>
      <c r="RRS73" s="800"/>
      <c r="RRT73" s="800"/>
      <c r="RRU73" s="800"/>
      <c r="RRV73" s="705"/>
      <c r="RRW73" s="799"/>
      <c r="RRX73" s="800"/>
      <c r="RRY73" s="800"/>
      <c r="RRZ73" s="800"/>
      <c r="RSA73" s="800"/>
      <c r="RSB73" s="800"/>
      <c r="RSC73" s="705"/>
      <c r="RSD73" s="799"/>
      <c r="RSE73" s="800"/>
      <c r="RSF73" s="800"/>
      <c r="RSG73" s="800"/>
      <c r="RSH73" s="800"/>
      <c r="RSI73" s="800"/>
      <c r="RSJ73" s="705"/>
      <c r="RSK73" s="799"/>
      <c r="RSL73" s="800"/>
      <c r="RSM73" s="800"/>
      <c r="RSN73" s="800"/>
      <c r="RSO73" s="800"/>
      <c r="RSP73" s="800"/>
      <c r="RSQ73" s="705"/>
      <c r="RSR73" s="799"/>
      <c r="RSS73" s="800"/>
      <c r="RST73" s="800"/>
      <c r="RSU73" s="800"/>
      <c r="RSV73" s="800"/>
      <c r="RSW73" s="800"/>
      <c r="RSX73" s="705"/>
      <c r="RSY73" s="799"/>
      <c r="RSZ73" s="800"/>
      <c r="RTA73" s="800"/>
      <c r="RTB73" s="800"/>
      <c r="RTC73" s="800"/>
      <c r="RTD73" s="800"/>
      <c r="RTE73" s="705"/>
      <c r="RTF73" s="799"/>
      <c r="RTG73" s="800"/>
      <c r="RTH73" s="800"/>
      <c r="RTI73" s="800"/>
      <c r="RTJ73" s="800"/>
      <c r="RTK73" s="800"/>
      <c r="RTL73" s="705"/>
      <c r="RTM73" s="799"/>
      <c r="RTN73" s="800"/>
      <c r="RTO73" s="800"/>
      <c r="RTP73" s="800"/>
      <c r="RTQ73" s="800"/>
      <c r="RTR73" s="800"/>
      <c r="RTS73" s="705"/>
      <c r="RTT73" s="799"/>
      <c r="RTU73" s="800"/>
      <c r="RTV73" s="800"/>
      <c r="RTW73" s="800"/>
      <c r="RTX73" s="800"/>
      <c r="RTY73" s="800"/>
      <c r="RTZ73" s="705"/>
      <c r="RUA73" s="799"/>
      <c r="RUB73" s="800"/>
      <c r="RUC73" s="800"/>
      <c r="RUD73" s="800"/>
      <c r="RUE73" s="800"/>
      <c r="RUF73" s="800"/>
      <c r="RUG73" s="705"/>
      <c r="RUH73" s="799"/>
      <c r="RUI73" s="800"/>
      <c r="RUJ73" s="800"/>
      <c r="RUK73" s="800"/>
      <c r="RUL73" s="800"/>
      <c r="RUM73" s="800"/>
      <c r="RUN73" s="705"/>
      <c r="RUO73" s="799"/>
      <c r="RUP73" s="800"/>
      <c r="RUQ73" s="800"/>
      <c r="RUR73" s="800"/>
      <c r="RUS73" s="800"/>
      <c r="RUT73" s="800"/>
      <c r="RUU73" s="705"/>
      <c r="RUV73" s="799"/>
      <c r="RUW73" s="800"/>
      <c r="RUX73" s="800"/>
      <c r="RUY73" s="800"/>
      <c r="RUZ73" s="800"/>
      <c r="RVA73" s="800"/>
      <c r="RVB73" s="705"/>
      <c r="RVC73" s="799"/>
      <c r="RVD73" s="800"/>
      <c r="RVE73" s="800"/>
      <c r="RVF73" s="800"/>
      <c r="RVG73" s="800"/>
      <c r="RVH73" s="800"/>
      <c r="RVI73" s="705"/>
      <c r="RVJ73" s="799"/>
      <c r="RVK73" s="800"/>
      <c r="RVL73" s="800"/>
      <c r="RVM73" s="800"/>
      <c r="RVN73" s="800"/>
      <c r="RVO73" s="800"/>
      <c r="RVP73" s="705"/>
      <c r="RVQ73" s="799"/>
      <c r="RVR73" s="800"/>
      <c r="RVS73" s="800"/>
      <c r="RVT73" s="800"/>
      <c r="RVU73" s="800"/>
      <c r="RVV73" s="800"/>
      <c r="RVW73" s="705"/>
      <c r="RVX73" s="799"/>
      <c r="RVY73" s="800"/>
      <c r="RVZ73" s="800"/>
      <c r="RWA73" s="800"/>
      <c r="RWB73" s="800"/>
      <c r="RWC73" s="800"/>
      <c r="RWD73" s="705"/>
      <c r="RWE73" s="799"/>
      <c r="RWF73" s="800"/>
      <c r="RWG73" s="800"/>
      <c r="RWH73" s="800"/>
      <c r="RWI73" s="800"/>
      <c r="RWJ73" s="800"/>
      <c r="RWK73" s="705"/>
      <c r="RWL73" s="799"/>
      <c r="RWM73" s="800"/>
      <c r="RWN73" s="800"/>
      <c r="RWO73" s="800"/>
      <c r="RWP73" s="800"/>
      <c r="RWQ73" s="800"/>
      <c r="RWR73" s="705"/>
      <c r="RWS73" s="799"/>
      <c r="RWT73" s="800"/>
      <c r="RWU73" s="800"/>
      <c r="RWV73" s="800"/>
      <c r="RWW73" s="800"/>
      <c r="RWX73" s="800"/>
      <c r="RWY73" s="705"/>
      <c r="RWZ73" s="799"/>
      <c r="RXA73" s="800"/>
      <c r="RXB73" s="800"/>
      <c r="RXC73" s="800"/>
      <c r="RXD73" s="800"/>
      <c r="RXE73" s="800"/>
      <c r="RXF73" s="705"/>
      <c r="RXG73" s="799"/>
      <c r="RXH73" s="800"/>
      <c r="RXI73" s="800"/>
      <c r="RXJ73" s="800"/>
      <c r="RXK73" s="800"/>
      <c r="RXL73" s="800"/>
      <c r="RXM73" s="705"/>
      <c r="RXN73" s="799"/>
      <c r="RXO73" s="800"/>
      <c r="RXP73" s="800"/>
      <c r="RXQ73" s="800"/>
      <c r="RXR73" s="800"/>
      <c r="RXS73" s="800"/>
      <c r="RXT73" s="705"/>
      <c r="RXU73" s="799"/>
      <c r="RXV73" s="800"/>
      <c r="RXW73" s="800"/>
      <c r="RXX73" s="800"/>
      <c r="RXY73" s="800"/>
      <c r="RXZ73" s="800"/>
      <c r="RYA73" s="705"/>
      <c r="RYB73" s="799"/>
      <c r="RYC73" s="800"/>
      <c r="RYD73" s="800"/>
      <c r="RYE73" s="800"/>
      <c r="RYF73" s="800"/>
      <c r="RYG73" s="800"/>
      <c r="RYH73" s="705"/>
      <c r="RYI73" s="799"/>
      <c r="RYJ73" s="800"/>
      <c r="RYK73" s="800"/>
      <c r="RYL73" s="800"/>
      <c r="RYM73" s="800"/>
      <c r="RYN73" s="800"/>
      <c r="RYO73" s="705"/>
      <c r="RYP73" s="799"/>
      <c r="RYQ73" s="800"/>
      <c r="RYR73" s="800"/>
      <c r="RYS73" s="800"/>
      <c r="RYT73" s="800"/>
      <c r="RYU73" s="800"/>
      <c r="RYV73" s="705"/>
      <c r="RYW73" s="799"/>
      <c r="RYX73" s="800"/>
      <c r="RYY73" s="800"/>
      <c r="RYZ73" s="800"/>
      <c r="RZA73" s="800"/>
      <c r="RZB73" s="800"/>
      <c r="RZC73" s="705"/>
      <c r="RZD73" s="799"/>
      <c r="RZE73" s="800"/>
      <c r="RZF73" s="800"/>
      <c r="RZG73" s="800"/>
      <c r="RZH73" s="800"/>
      <c r="RZI73" s="800"/>
      <c r="RZJ73" s="705"/>
      <c r="RZK73" s="799"/>
      <c r="RZL73" s="800"/>
      <c r="RZM73" s="800"/>
      <c r="RZN73" s="800"/>
      <c r="RZO73" s="800"/>
      <c r="RZP73" s="800"/>
      <c r="RZQ73" s="705"/>
      <c r="RZR73" s="799"/>
      <c r="RZS73" s="800"/>
      <c r="RZT73" s="800"/>
      <c r="RZU73" s="800"/>
      <c r="RZV73" s="800"/>
      <c r="RZW73" s="800"/>
      <c r="RZX73" s="705"/>
      <c r="RZY73" s="799"/>
      <c r="RZZ73" s="800"/>
      <c r="SAA73" s="800"/>
      <c r="SAB73" s="800"/>
      <c r="SAC73" s="800"/>
      <c r="SAD73" s="800"/>
      <c r="SAE73" s="705"/>
      <c r="SAF73" s="799"/>
      <c r="SAG73" s="800"/>
      <c r="SAH73" s="800"/>
      <c r="SAI73" s="800"/>
      <c r="SAJ73" s="800"/>
      <c r="SAK73" s="800"/>
      <c r="SAL73" s="705"/>
      <c r="SAM73" s="799"/>
      <c r="SAN73" s="800"/>
      <c r="SAO73" s="800"/>
      <c r="SAP73" s="800"/>
      <c r="SAQ73" s="800"/>
      <c r="SAR73" s="800"/>
      <c r="SAS73" s="705"/>
      <c r="SAT73" s="799"/>
      <c r="SAU73" s="800"/>
      <c r="SAV73" s="800"/>
      <c r="SAW73" s="800"/>
      <c r="SAX73" s="800"/>
      <c r="SAY73" s="800"/>
      <c r="SAZ73" s="705"/>
      <c r="SBA73" s="799"/>
      <c r="SBB73" s="800"/>
      <c r="SBC73" s="800"/>
      <c r="SBD73" s="800"/>
      <c r="SBE73" s="800"/>
      <c r="SBF73" s="800"/>
      <c r="SBG73" s="705"/>
      <c r="SBH73" s="799"/>
      <c r="SBI73" s="800"/>
      <c r="SBJ73" s="800"/>
      <c r="SBK73" s="800"/>
      <c r="SBL73" s="800"/>
      <c r="SBM73" s="800"/>
      <c r="SBN73" s="705"/>
      <c r="SBO73" s="799"/>
      <c r="SBP73" s="800"/>
      <c r="SBQ73" s="800"/>
      <c r="SBR73" s="800"/>
      <c r="SBS73" s="800"/>
      <c r="SBT73" s="800"/>
      <c r="SBU73" s="705"/>
      <c r="SBV73" s="799"/>
      <c r="SBW73" s="800"/>
      <c r="SBX73" s="800"/>
      <c r="SBY73" s="800"/>
      <c r="SBZ73" s="800"/>
      <c r="SCA73" s="800"/>
      <c r="SCB73" s="705"/>
      <c r="SCC73" s="799"/>
      <c r="SCD73" s="800"/>
      <c r="SCE73" s="800"/>
      <c r="SCF73" s="800"/>
      <c r="SCG73" s="800"/>
      <c r="SCH73" s="800"/>
      <c r="SCI73" s="705"/>
      <c r="SCJ73" s="799"/>
      <c r="SCK73" s="800"/>
      <c r="SCL73" s="800"/>
      <c r="SCM73" s="800"/>
      <c r="SCN73" s="800"/>
      <c r="SCO73" s="800"/>
      <c r="SCP73" s="705"/>
      <c r="SCQ73" s="799"/>
      <c r="SCR73" s="800"/>
      <c r="SCS73" s="800"/>
      <c r="SCT73" s="800"/>
      <c r="SCU73" s="800"/>
      <c r="SCV73" s="800"/>
      <c r="SCW73" s="705"/>
      <c r="SCX73" s="799"/>
      <c r="SCY73" s="800"/>
      <c r="SCZ73" s="800"/>
      <c r="SDA73" s="800"/>
      <c r="SDB73" s="800"/>
      <c r="SDC73" s="800"/>
      <c r="SDD73" s="705"/>
      <c r="SDE73" s="799"/>
      <c r="SDF73" s="800"/>
      <c r="SDG73" s="800"/>
      <c r="SDH73" s="800"/>
      <c r="SDI73" s="800"/>
      <c r="SDJ73" s="800"/>
      <c r="SDK73" s="705"/>
      <c r="SDL73" s="799"/>
      <c r="SDM73" s="800"/>
      <c r="SDN73" s="800"/>
      <c r="SDO73" s="800"/>
      <c r="SDP73" s="800"/>
      <c r="SDQ73" s="800"/>
      <c r="SDR73" s="705"/>
      <c r="SDS73" s="799"/>
      <c r="SDT73" s="800"/>
      <c r="SDU73" s="800"/>
      <c r="SDV73" s="800"/>
      <c r="SDW73" s="800"/>
      <c r="SDX73" s="800"/>
      <c r="SDY73" s="705"/>
      <c r="SDZ73" s="799"/>
      <c r="SEA73" s="800"/>
      <c r="SEB73" s="800"/>
      <c r="SEC73" s="800"/>
      <c r="SED73" s="800"/>
      <c r="SEE73" s="800"/>
      <c r="SEF73" s="705"/>
      <c r="SEG73" s="799"/>
      <c r="SEH73" s="800"/>
      <c r="SEI73" s="800"/>
      <c r="SEJ73" s="800"/>
      <c r="SEK73" s="800"/>
      <c r="SEL73" s="800"/>
      <c r="SEM73" s="705"/>
      <c r="SEN73" s="799"/>
      <c r="SEO73" s="800"/>
      <c r="SEP73" s="800"/>
      <c r="SEQ73" s="800"/>
      <c r="SER73" s="800"/>
      <c r="SES73" s="800"/>
      <c r="SET73" s="705"/>
      <c r="SEU73" s="799"/>
      <c r="SEV73" s="800"/>
      <c r="SEW73" s="800"/>
      <c r="SEX73" s="800"/>
      <c r="SEY73" s="800"/>
      <c r="SEZ73" s="800"/>
      <c r="SFA73" s="705"/>
      <c r="SFB73" s="799"/>
      <c r="SFC73" s="800"/>
      <c r="SFD73" s="800"/>
      <c r="SFE73" s="800"/>
      <c r="SFF73" s="800"/>
      <c r="SFG73" s="800"/>
      <c r="SFH73" s="705"/>
      <c r="SFI73" s="799"/>
      <c r="SFJ73" s="800"/>
      <c r="SFK73" s="800"/>
      <c r="SFL73" s="800"/>
      <c r="SFM73" s="800"/>
      <c r="SFN73" s="800"/>
      <c r="SFO73" s="705"/>
      <c r="SFP73" s="799"/>
      <c r="SFQ73" s="800"/>
      <c r="SFR73" s="800"/>
      <c r="SFS73" s="800"/>
      <c r="SFT73" s="800"/>
      <c r="SFU73" s="800"/>
      <c r="SFV73" s="705"/>
      <c r="SFW73" s="799"/>
      <c r="SFX73" s="800"/>
      <c r="SFY73" s="800"/>
      <c r="SFZ73" s="800"/>
      <c r="SGA73" s="800"/>
      <c r="SGB73" s="800"/>
      <c r="SGC73" s="705"/>
      <c r="SGD73" s="799"/>
      <c r="SGE73" s="800"/>
      <c r="SGF73" s="800"/>
      <c r="SGG73" s="800"/>
      <c r="SGH73" s="800"/>
      <c r="SGI73" s="800"/>
      <c r="SGJ73" s="705"/>
      <c r="SGK73" s="799"/>
      <c r="SGL73" s="800"/>
      <c r="SGM73" s="800"/>
      <c r="SGN73" s="800"/>
      <c r="SGO73" s="800"/>
      <c r="SGP73" s="800"/>
      <c r="SGQ73" s="705"/>
      <c r="SGR73" s="799"/>
      <c r="SGS73" s="800"/>
      <c r="SGT73" s="800"/>
      <c r="SGU73" s="800"/>
      <c r="SGV73" s="800"/>
      <c r="SGW73" s="800"/>
      <c r="SGX73" s="705"/>
      <c r="SGY73" s="799"/>
      <c r="SGZ73" s="800"/>
      <c r="SHA73" s="800"/>
      <c r="SHB73" s="800"/>
      <c r="SHC73" s="800"/>
      <c r="SHD73" s="800"/>
      <c r="SHE73" s="705"/>
      <c r="SHF73" s="799"/>
      <c r="SHG73" s="800"/>
      <c r="SHH73" s="800"/>
      <c r="SHI73" s="800"/>
      <c r="SHJ73" s="800"/>
      <c r="SHK73" s="800"/>
      <c r="SHL73" s="705"/>
      <c r="SHM73" s="799"/>
      <c r="SHN73" s="800"/>
      <c r="SHO73" s="800"/>
      <c r="SHP73" s="800"/>
      <c r="SHQ73" s="800"/>
      <c r="SHR73" s="800"/>
      <c r="SHS73" s="705"/>
      <c r="SHT73" s="799"/>
      <c r="SHU73" s="800"/>
      <c r="SHV73" s="800"/>
      <c r="SHW73" s="800"/>
      <c r="SHX73" s="800"/>
      <c r="SHY73" s="800"/>
      <c r="SHZ73" s="705"/>
      <c r="SIA73" s="799"/>
      <c r="SIB73" s="800"/>
      <c r="SIC73" s="800"/>
      <c r="SID73" s="800"/>
      <c r="SIE73" s="800"/>
      <c r="SIF73" s="800"/>
      <c r="SIG73" s="705"/>
      <c r="SIH73" s="799"/>
      <c r="SII73" s="800"/>
      <c r="SIJ73" s="800"/>
      <c r="SIK73" s="800"/>
      <c r="SIL73" s="800"/>
      <c r="SIM73" s="800"/>
      <c r="SIN73" s="705"/>
      <c r="SIO73" s="799"/>
      <c r="SIP73" s="800"/>
      <c r="SIQ73" s="800"/>
      <c r="SIR73" s="800"/>
      <c r="SIS73" s="800"/>
      <c r="SIT73" s="800"/>
      <c r="SIU73" s="705"/>
      <c r="SIV73" s="799"/>
      <c r="SIW73" s="800"/>
      <c r="SIX73" s="800"/>
      <c r="SIY73" s="800"/>
      <c r="SIZ73" s="800"/>
      <c r="SJA73" s="800"/>
      <c r="SJB73" s="705"/>
      <c r="SJC73" s="799"/>
      <c r="SJD73" s="800"/>
      <c r="SJE73" s="800"/>
      <c r="SJF73" s="800"/>
      <c r="SJG73" s="800"/>
      <c r="SJH73" s="800"/>
      <c r="SJI73" s="705"/>
      <c r="SJJ73" s="799"/>
      <c r="SJK73" s="800"/>
      <c r="SJL73" s="800"/>
      <c r="SJM73" s="800"/>
      <c r="SJN73" s="800"/>
      <c r="SJO73" s="800"/>
      <c r="SJP73" s="705"/>
      <c r="SJQ73" s="799"/>
      <c r="SJR73" s="800"/>
      <c r="SJS73" s="800"/>
      <c r="SJT73" s="800"/>
      <c r="SJU73" s="800"/>
      <c r="SJV73" s="800"/>
      <c r="SJW73" s="705"/>
      <c r="SJX73" s="799"/>
      <c r="SJY73" s="800"/>
      <c r="SJZ73" s="800"/>
      <c r="SKA73" s="800"/>
      <c r="SKB73" s="800"/>
      <c r="SKC73" s="800"/>
      <c r="SKD73" s="705"/>
      <c r="SKE73" s="799"/>
      <c r="SKF73" s="800"/>
      <c r="SKG73" s="800"/>
      <c r="SKH73" s="800"/>
      <c r="SKI73" s="800"/>
      <c r="SKJ73" s="800"/>
      <c r="SKK73" s="705"/>
      <c r="SKL73" s="799"/>
      <c r="SKM73" s="800"/>
      <c r="SKN73" s="800"/>
      <c r="SKO73" s="800"/>
      <c r="SKP73" s="800"/>
      <c r="SKQ73" s="800"/>
      <c r="SKR73" s="705"/>
      <c r="SKS73" s="799"/>
      <c r="SKT73" s="800"/>
      <c r="SKU73" s="800"/>
      <c r="SKV73" s="800"/>
      <c r="SKW73" s="800"/>
      <c r="SKX73" s="800"/>
      <c r="SKY73" s="705"/>
      <c r="SKZ73" s="799"/>
      <c r="SLA73" s="800"/>
      <c r="SLB73" s="800"/>
      <c r="SLC73" s="800"/>
      <c r="SLD73" s="800"/>
      <c r="SLE73" s="800"/>
      <c r="SLF73" s="705"/>
      <c r="SLG73" s="799"/>
      <c r="SLH73" s="800"/>
      <c r="SLI73" s="800"/>
      <c r="SLJ73" s="800"/>
      <c r="SLK73" s="800"/>
      <c r="SLL73" s="800"/>
      <c r="SLM73" s="705"/>
      <c r="SLN73" s="799"/>
      <c r="SLO73" s="800"/>
      <c r="SLP73" s="800"/>
      <c r="SLQ73" s="800"/>
      <c r="SLR73" s="800"/>
      <c r="SLS73" s="800"/>
      <c r="SLT73" s="705"/>
      <c r="SLU73" s="799"/>
      <c r="SLV73" s="800"/>
      <c r="SLW73" s="800"/>
      <c r="SLX73" s="800"/>
      <c r="SLY73" s="800"/>
      <c r="SLZ73" s="800"/>
      <c r="SMA73" s="705"/>
      <c r="SMB73" s="799"/>
      <c r="SMC73" s="800"/>
      <c r="SMD73" s="800"/>
      <c r="SME73" s="800"/>
      <c r="SMF73" s="800"/>
      <c r="SMG73" s="800"/>
      <c r="SMH73" s="705"/>
      <c r="SMI73" s="799"/>
      <c r="SMJ73" s="800"/>
      <c r="SMK73" s="800"/>
      <c r="SML73" s="800"/>
      <c r="SMM73" s="800"/>
      <c r="SMN73" s="800"/>
      <c r="SMO73" s="705"/>
      <c r="SMP73" s="799"/>
      <c r="SMQ73" s="800"/>
      <c r="SMR73" s="800"/>
      <c r="SMS73" s="800"/>
      <c r="SMT73" s="800"/>
      <c r="SMU73" s="800"/>
      <c r="SMV73" s="705"/>
      <c r="SMW73" s="799"/>
      <c r="SMX73" s="800"/>
      <c r="SMY73" s="800"/>
      <c r="SMZ73" s="800"/>
      <c r="SNA73" s="800"/>
      <c r="SNB73" s="800"/>
      <c r="SNC73" s="705"/>
      <c r="SND73" s="799"/>
      <c r="SNE73" s="800"/>
      <c r="SNF73" s="800"/>
      <c r="SNG73" s="800"/>
      <c r="SNH73" s="800"/>
      <c r="SNI73" s="800"/>
      <c r="SNJ73" s="705"/>
      <c r="SNK73" s="799"/>
      <c r="SNL73" s="800"/>
      <c r="SNM73" s="800"/>
      <c r="SNN73" s="800"/>
      <c r="SNO73" s="800"/>
      <c r="SNP73" s="800"/>
      <c r="SNQ73" s="705"/>
      <c r="SNR73" s="799"/>
      <c r="SNS73" s="800"/>
      <c r="SNT73" s="800"/>
      <c r="SNU73" s="800"/>
      <c r="SNV73" s="800"/>
      <c r="SNW73" s="800"/>
      <c r="SNX73" s="705"/>
      <c r="SNY73" s="799"/>
      <c r="SNZ73" s="800"/>
      <c r="SOA73" s="800"/>
      <c r="SOB73" s="800"/>
      <c r="SOC73" s="800"/>
      <c r="SOD73" s="800"/>
      <c r="SOE73" s="705"/>
      <c r="SOF73" s="799"/>
      <c r="SOG73" s="800"/>
      <c r="SOH73" s="800"/>
      <c r="SOI73" s="800"/>
      <c r="SOJ73" s="800"/>
      <c r="SOK73" s="800"/>
      <c r="SOL73" s="705"/>
      <c r="SOM73" s="799"/>
      <c r="SON73" s="800"/>
      <c r="SOO73" s="800"/>
      <c r="SOP73" s="800"/>
      <c r="SOQ73" s="800"/>
      <c r="SOR73" s="800"/>
      <c r="SOS73" s="705"/>
      <c r="SOT73" s="799"/>
      <c r="SOU73" s="800"/>
      <c r="SOV73" s="800"/>
      <c r="SOW73" s="800"/>
      <c r="SOX73" s="800"/>
      <c r="SOY73" s="800"/>
      <c r="SOZ73" s="705"/>
      <c r="SPA73" s="799"/>
      <c r="SPB73" s="800"/>
      <c r="SPC73" s="800"/>
      <c r="SPD73" s="800"/>
      <c r="SPE73" s="800"/>
      <c r="SPF73" s="800"/>
      <c r="SPG73" s="705"/>
      <c r="SPH73" s="799"/>
      <c r="SPI73" s="800"/>
      <c r="SPJ73" s="800"/>
      <c r="SPK73" s="800"/>
      <c r="SPL73" s="800"/>
      <c r="SPM73" s="800"/>
      <c r="SPN73" s="705"/>
      <c r="SPO73" s="799"/>
      <c r="SPP73" s="800"/>
      <c r="SPQ73" s="800"/>
      <c r="SPR73" s="800"/>
      <c r="SPS73" s="800"/>
      <c r="SPT73" s="800"/>
      <c r="SPU73" s="705"/>
      <c r="SPV73" s="799"/>
      <c r="SPW73" s="800"/>
      <c r="SPX73" s="800"/>
      <c r="SPY73" s="800"/>
      <c r="SPZ73" s="800"/>
      <c r="SQA73" s="800"/>
      <c r="SQB73" s="705"/>
      <c r="SQC73" s="799"/>
      <c r="SQD73" s="800"/>
      <c r="SQE73" s="800"/>
      <c r="SQF73" s="800"/>
      <c r="SQG73" s="800"/>
      <c r="SQH73" s="800"/>
      <c r="SQI73" s="705"/>
      <c r="SQJ73" s="799"/>
      <c r="SQK73" s="800"/>
      <c r="SQL73" s="800"/>
      <c r="SQM73" s="800"/>
      <c r="SQN73" s="800"/>
      <c r="SQO73" s="800"/>
      <c r="SQP73" s="705"/>
      <c r="SQQ73" s="799"/>
      <c r="SQR73" s="800"/>
      <c r="SQS73" s="800"/>
      <c r="SQT73" s="800"/>
      <c r="SQU73" s="800"/>
      <c r="SQV73" s="800"/>
      <c r="SQW73" s="705"/>
      <c r="SQX73" s="799"/>
      <c r="SQY73" s="800"/>
      <c r="SQZ73" s="800"/>
      <c r="SRA73" s="800"/>
      <c r="SRB73" s="800"/>
      <c r="SRC73" s="800"/>
      <c r="SRD73" s="705"/>
      <c r="SRE73" s="799"/>
      <c r="SRF73" s="800"/>
      <c r="SRG73" s="800"/>
      <c r="SRH73" s="800"/>
      <c r="SRI73" s="800"/>
      <c r="SRJ73" s="800"/>
      <c r="SRK73" s="705"/>
      <c r="SRL73" s="799"/>
      <c r="SRM73" s="800"/>
      <c r="SRN73" s="800"/>
      <c r="SRO73" s="800"/>
      <c r="SRP73" s="800"/>
      <c r="SRQ73" s="800"/>
      <c r="SRR73" s="705"/>
      <c r="SRS73" s="799"/>
      <c r="SRT73" s="800"/>
      <c r="SRU73" s="800"/>
      <c r="SRV73" s="800"/>
      <c r="SRW73" s="800"/>
      <c r="SRX73" s="800"/>
      <c r="SRY73" s="705"/>
      <c r="SRZ73" s="799"/>
      <c r="SSA73" s="800"/>
      <c r="SSB73" s="800"/>
      <c r="SSC73" s="800"/>
      <c r="SSD73" s="800"/>
      <c r="SSE73" s="800"/>
      <c r="SSF73" s="705"/>
      <c r="SSG73" s="799"/>
      <c r="SSH73" s="800"/>
      <c r="SSI73" s="800"/>
      <c r="SSJ73" s="800"/>
      <c r="SSK73" s="800"/>
      <c r="SSL73" s="800"/>
      <c r="SSM73" s="705"/>
      <c r="SSN73" s="799"/>
      <c r="SSO73" s="800"/>
      <c r="SSP73" s="800"/>
      <c r="SSQ73" s="800"/>
      <c r="SSR73" s="800"/>
      <c r="SSS73" s="800"/>
      <c r="SST73" s="705"/>
      <c r="SSU73" s="799"/>
      <c r="SSV73" s="800"/>
      <c r="SSW73" s="800"/>
      <c r="SSX73" s="800"/>
      <c r="SSY73" s="800"/>
      <c r="SSZ73" s="800"/>
      <c r="STA73" s="705"/>
      <c r="STB73" s="799"/>
      <c r="STC73" s="800"/>
      <c r="STD73" s="800"/>
      <c r="STE73" s="800"/>
      <c r="STF73" s="800"/>
      <c r="STG73" s="800"/>
      <c r="STH73" s="705"/>
      <c r="STI73" s="799"/>
      <c r="STJ73" s="800"/>
      <c r="STK73" s="800"/>
      <c r="STL73" s="800"/>
      <c r="STM73" s="800"/>
      <c r="STN73" s="800"/>
      <c r="STO73" s="705"/>
      <c r="STP73" s="799"/>
      <c r="STQ73" s="800"/>
      <c r="STR73" s="800"/>
      <c r="STS73" s="800"/>
      <c r="STT73" s="800"/>
      <c r="STU73" s="800"/>
      <c r="STV73" s="705"/>
      <c r="STW73" s="799"/>
      <c r="STX73" s="800"/>
      <c r="STY73" s="800"/>
      <c r="STZ73" s="800"/>
      <c r="SUA73" s="800"/>
      <c r="SUB73" s="800"/>
      <c r="SUC73" s="705"/>
      <c r="SUD73" s="799"/>
      <c r="SUE73" s="800"/>
      <c r="SUF73" s="800"/>
      <c r="SUG73" s="800"/>
      <c r="SUH73" s="800"/>
      <c r="SUI73" s="800"/>
      <c r="SUJ73" s="705"/>
      <c r="SUK73" s="799"/>
      <c r="SUL73" s="800"/>
      <c r="SUM73" s="800"/>
      <c r="SUN73" s="800"/>
      <c r="SUO73" s="800"/>
      <c r="SUP73" s="800"/>
      <c r="SUQ73" s="705"/>
      <c r="SUR73" s="799"/>
      <c r="SUS73" s="800"/>
      <c r="SUT73" s="800"/>
      <c r="SUU73" s="800"/>
      <c r="SUV73" s="800"/>
      <c r="SUW73" s="800"/>
      <c r="SUX73" s="705"/>
      <c r="SUY73" s="799"/>
      <c r="SUZ73" s="800"/>
      <c r="SVA73" s="800"/>
      <c r="SVB73" s="800"/>
      <c r="SVC73" s="800"/>
      <c r="SVD73" s="800"/>
      <c r="SVE73" s="705"/>
      <c r="SVF73" s="799"/>
      <c r="SVG73" s="800"/>
      <c r="SVH73" s="800"/>
      <c r="SVI73" s="800"/>
      <c r="SVJ73" s="800"/>
      <c r="SVK73" s="800"/>
      <c r="SVL73" s="705"/>
      <c r="SVM73" s="799"/>
      <c r="SVN73" s="800"/>
      <c r="SVO73" s="800"/>
      <c r="SVP73" s="800"/>
      <c r="SVQ73" s="800"/>
      <c r="SVR73" s="800"/>
      <c r="SVS73" s="705"/>
      <c r="SVT73" s="799"/>
      <c r="SVU73" s="800"/>
      <c r="SVV73" s="800"/>
      <c r="SVW73" s="800"/>
      <c r="SVX73" s="800"/>
      <c r="SVY73" s="800"/>
      <c r="SVZ73" s="705"/>
      <c r="SWA73" s="799"/>
      <c r="SWB73" s="800"/>
      <c r="SWC73" s="800"/>
      <c r="SWD73" s="800"/>
      <c r="SWE73" s="800"/>
      <c r="SWF73" s="800"/>
      <c r="SWG73" s="705"/>
      <c r="SWH73" s="799"/>
      <c r="SWI73" s="800"/>
      <c r="SWJ73" s="800"/>
      <c r="SWK73" s="800"/>
      <c r="SWL73" s="800"/>
      <c r="SWM73" s="800"/>
      <c r="SWN73" s="705"/>
      <c r="SWO73" s="799"/>
      <c r="SWP73" s="800"/>
      <c r="SWQ73" s="800"/>
      <c r="SWR73" s="800"/>
      <c r="SWS73" s="800"/>
      <c r="SWT73" s="800"/>
      <c r="SWU73" s="705"/>
      <c r="SWV73" s="799"/>
      <c r="SWW73" s="800"/>
      <c r="SWX73" s="800"/>
      <c r="SWY73" s="800"/>
      <c r="SWZ73" s="800"/>
      <c r="SXA73" s="800"/>
      <c r="SXB73" s="705"/>
      <c r="SXC73" s="799"/>
      <c r="SXD73" s="800"/>
      <c r="SXE73" s="800"/>
      <c r="SXF73" s="800"/>
      <c r="SXG73" s="800"/>
      <c r="SXH73" s="800"/>
      <c r="SXI73" s="705"/>
      <c r="SXJ73" s="799"/>
      <c r="SXK73" s="800"/>
      <c r="SXL73" s="800"/>
      <c r="SXM73" s="800"/>
      <c r="SXN73" s="800"/>
      <c r="SXO73" s="800"/>
      <c r="SXP73" s="705"/>
      <c r="SXQ73" s="799"/>
      <c r="SXR73" s="800"/>
      <c r="SXS73" s="800"/>
      <c r="SXT73" s="800"/>
      <c r="SXU73" s="800"/>
      <c r="SXV73" s="800"/>
      <c r="SXW73" s="705"/>
      <c r="SXX73" s="799"/>
      <c r="SXY73" s="800"/>
      <c r="SXZ73" s="800"/>
      <c r="SYA73" s="800"/>
      <c r="SYB73" s="800"/>
      <c r="SYC73" s="800"/>
      <c r="SYD73" s="705"/>
      <c r="SYE73" s="799"/>
      <c r="SYF73" s="800"/>
      <c r="SYG73" s="800"/>
      <c r="SYH73" s="800"/>
      <c r="SYI73" s="800"/>
      <c r="SYJ73" s="800"/>
      <c r="SYK73" s="705"/>
      <c r="SYL73" s="799"/>
      <c r="SYM73" s="800"/>
      <c r="SYN73" s="800"/>
      <c r="SYO73" s="800"/>
      <c r="SYP73" s="800"/>
      <c r="SYQ73" s="800"/>
      <c r="SYR73" s="705"/>
      <c r="SYS73" s="799"/>
      <c r="SYT73" s="800"/>
      <c r="SYU73" s="800"/>
      <c r="SYV73" s="800"/>
      <c r="SYW73" s="800"/>
      <c r="SYX73" s="800"/>
      <c r="SYY73" s="705"/>
      <c r="SYZ73" s="799"/>
      <c r="SZA73" s="800"/>
      <c r="SZB73" s="800"/>
      <c r="SZC73" s="800"/>
      <c r="SZD73" s="800"/>
      <c r="SZE73" s="800"/>
      <c r="SZF73" s="705"/>
      <c r="SZG73" s="799"/>
      <c r="SZH73" s="800"/>
      <c r="SZI73" s="800"/>
      <c r="SZJ73" s="800"/>
      <c r="SZK73" s="800"/>
      <c r="SZL73" s="800"/>
      <c r="SZM73" s="705"/>
      <c r="SZN73" s="799"/>
      <c r="SZO73" s="800"/>
      <c r="SZP73" s="800"/>
      <c r="SZQ73" s="800"/>
      <c r="SZR73" s="800"/>
      <c r="SZS73" s="800"/>
      <c r="SZT73" s="705"/>
      <c r="SZU73" s="799"/>
      <c r="SZV73" s="800"/>
      <c r="SZW73" s="800"/>
      <c r="SZX73" s="800"/>
      <c r="SZY73" s="800"/>
      <c r="SZZ73" s="800"/>
      <c r="TAA73" s="705"/>
      <c r="TAB73" s="799"/>
      <c r="TAC73" s="800"/>
      <c r="TAD73" s="800"/>
      <c r="TAE73" s="800"/>
      <c r="TAF73" s="800"/>
      <c r="TAG73" s="800"/>
      <c r="TAH73" s="705"/>
      <c r="TAI73" s="799"/>
      <c r="TAJ73" s="800"/>
      <c r="TAK73" s="800"/>
      <c r="TAL73" s="800"/>
      <c r="TAM73" s="800"/>
      <c r="TAN73" s="800"/>
      <c r="TAO73" s="705"/>
      <c r="TAP73" s="799"/>
      <c r="TAQ73" s="800"/>
      <c r="TAR73" s="800"/>
      <c r="TAS73" s="800"/>
      <c r="TAT73" s="800"/>
      <c r="TAU73" s="800"/>
      <c r="TAV73" s="705"/>
      <c r="TAW73" s="799"/>
      <c r="TAX73" s="800"/>
      <c r="TAY73" s="800"/>
      <c r="TAZ73" s="800"/>
      <c r="TBA73" s="800"/>
      <c r="TBB73" s="800"/>
      <c r="TBC73" s="705"/>
      <c r="TBD73" s="799"/>
      <c r="TBE73" s="800"/>
      <c r="TBF73" s="800"/>
      <c r="TBG73" s="800"/>
      <c r="TBH73" s="800"/>
      <c r="TBI73" s="800"/>
      <c r="TBJ73" s="705"/>
      <c r="TBK73" s="799"/>
      <c r="TBL73" s="800"/>
      <c r="TBM73" s="800"/>
      <c r="TBN73" s="800"/>
      <c r="TBO73" s="800"/>
      <c r="TBP73" s="800"/>
      <c r="TBQ73" s="705"/>
      <c r="TBR73" s="799"/>
      <c r="TBS73" s="800"/>
      <c r="TBT73" s="800"/>
      <c r="TBU73" s="800"/>
      <c r="TBV73" s="800"/>
      <c r="TBW73" s="800"/>
      <c r="TBX73" s="705"/>
      <c r="TBY73" s="799"/>
      <c r="TBZ73" s="800"/>
      <c r="TCA73" s="800"/>
      <c r="TCB73" s="800"/>
      <c r="TCC73" s="800"/>
      <c r="TCD73" s="800"/>
      <c r="TCE73" s="705"/>
      <c r="TCF73" s="799"/>
      <c r="TCG73" s="800"/>
      <c r="TCH73" s="800"/>
      <c r="TCI73" s="800"/>
      <c r="TCJ73" s="800"/>
      <c r="TCK73" s="800"/>
      <c r="TCL73" s="705"/>
      <c r="TCM73" s="799"/>
      <c r="TCN73" s="800"/>
      <c r="TCO73" s="800"/>
      <c r="TCP73" s="800"/>
      <c r="TCQ73" s="800"/>
      <c r="TCR73" s="800"/>
      <c r="TCS73" s="705"/>
      <c r="TCT73" s="799"/>
      <c r="TCU73" s="800"/>
      <c r="TCV73" s="800"/>
      <c r="TCW73" s="800"/>
      <c r="TCX73" s="800"/>
      <c r="TCY73" s="800"/>
      <c r="TCZ73" s="705"/>
      <c r="TDA73" s="799"/>
      <c r="TDB73" s="800"/>
      <c r="TDC73" s="800"/>
      <c r="TDD73" s="800"/>
      <c r="TDE73" s="800"/>
      <c r="TDF73" s="800"/>
      <c r="TDG73" s="705"/>
      <c r="TDH73" s="799"/>
      <c r="TDI73" s="800"/>
      <c r="TDJ73" s="800"/>
      <c r="TDK73" s="800"/>
      <c r="TDL73" s="800"/>
      <c r="TDM73" s="800"/>
      <c r="TDN73" s="705"/>
      <c r="TDO73" s="799"/>
      <c r="TDP73" s="800"/>
      <c r="TDQ73" s="800"/>
      <c r="TDR73" s="800"/>
      <c r="TDS73" s="800"/>
      <c r="TDT73" s="800"/>
      <c r="TDU73" s="705"/>
      <c r="TDV73" s="799"/>
      <c r="TDW73" s="800"/>
      <c r="TDX73" s="800"/>
      <c r="TDY73" s="800"/>
      <c r="TDZ73" s="800"/>
      <c r="TEA73" s="800"/>
      <c r="TEB73" s="705"/>
      <c r="TEC73" s="799"/>
      <c r="TED73" s="800"/>
      <c r="TEE73" s="800"/>
      <c r="TEF73" s="800"/>
      <c r="TEG73" s="800"/>
      <c r="TEH73" s="800"/>
      <c r="TEI73" s="705"/>
      <c r="TEJ73" s="799"/>
      <c r="TEK73" s="800"/>
      <c r="TEL73" s="800"/>
      <c r="TEM73" s="800"/>
      <c r="TEN73" s="800"/>
      <c r="TEO73" s="800"/>
      <c r="TEP73" s="705"/>
      <c r="TEQ73" s="799"/>
      <c r="TER73" s="800"/>
      <c r="TES73" s="800"/>
      <c r="TET73" s="800"/>
      <c r="TEU73" s="800"/>
      <c r="TEV73" s="800"/>
      <c r="TEW73" s="705"/>
      <c r="TEX73" s="799"/>
      <c r="TEY73" s="800"/>
      <c r="TEZ73" s="800"/>
      <c r="TFA73" s="800"/>
      <c r="TFB73" s="800"/>
      <c r="TFC73" s="800"/>
      <c r="TFD73" s="705"/>
      <c r="TFE73" s="799"/>
      <c r="TFF73" s="800"/>
      <c r="TFG73" s="800"/>
      <c r="TFH73" s="800"/>
      <c r="TFI73" s="800"/>
      <c r="TFJ73" s="800"/>
      <c r="TFK73" s="705"/>
      <c r="TFL73" s="799"/>
      <c r="TFM73" s="800"/>
      <c r="TFN73" s="800"/>
      <c r="TFO73" s="800"/>
      <c r="TFP73" s="800"/>
      <c r="TFQ73" s="800"/>
      <c r="TFR73" s="705"/>
      <c r="TFS73" s="799"/>
      <c r="TFT73" s="800"/>
      <c r="TFU73" s="800"/>
      <c r="TFV73" s="800"/>
      <c r="TFW73" s="800"/>
      <c r="TFX73" s="800"/>
      <c r="TFY73" s="705"/>
      <c r="TFZ73" s="799"/>
      <c r="TGA73" s="800"/>
      <c r="TGB73" s="800"/>
      <c r="TGC73" s="800"/>
      <c r="TGD73" s="800"/>
      <c r="TGE73" s="800"/>
      <c r="TGF73" s="705"/>
      <c r="TGG73" s="799"/>
      <c r="TGH73" s="800"/>
      <c r="TGI73" s="800"/>
      <c r="TGJ73" s="800"/>
      <c r="TGK73" s="800"/>
      <c r="TGL73" s="800"/>
      <c r="TGM73" s="705"/>
      <c r="TGN73" s="799"/>
      <c r="TGO73" s="800"/>
      <c r="TGP73" s="800"/>
      <c r="TGQ73" s="800"/>
      <c r="TGR73" s="800"/>
      <c r="TGS73" s="800"/>
      <c r="TGT73" s="705"/>
      <c r="TGU73" s="799"/>
      <c r="TGV73" s="800"/>
      <c r="TGW73" s="800"/>
      <c r="TGX73" s="800"/>
      <c r="TGY73" s="800"/>
      <c r="TGZ73" s="800"/>
      <c r="THA73" s="705"/>
      <c r="THB73" s="799"/>
      <c r="THC73" s="800"/>
      <c r="THD73" s="800"/>
      <c r="THE73" s="800"/>
      <c r="THF73" s="800"/>
      <c r="THG73" s="800"/>
      <c r="THH73" s="705"/>
      <c r="THI73" s="799"/>
      <c r="THJ73" s="800"/>
      <c r="THK73" s="800"/>
      <c r="THL73" s="800"/>
      <c r="THM73" s="800"/>
      <c r="THN73" s="800"/>
      <c r="THO73" s="705"/>
      <c r="THP73" s="799"/>
      <c r="THQ73" s="800"/>
      <c r="THR73" s="800"/>
      <c r="THS73" s="800"/>
      <c r="THT73" s="800"/>
      <c r="THU73" s="800"/>
      <c r="THV73" s="705"/>
      <c r="THW73" s="799"/>
      <c r="THX73" s="800"/>
      <c r="THY73" s="800"/>
      <c r="THZ73" s="800"/>
      <c r="TIA73" s="800"/>
      <c r="TIB73" s="800"/>
      <c r="TIC73" s="705"/>
      <c r="TID73" s="799"/>
      <c r="TIE73" s="800"/>
      <c r="TIF73" s="800"/>
      <c r="TIG73" s="800"/>
      <c r="TIH73" s="800"/>
      <c r="TII73" s="800"/>
      <c r="TIJ73" s="705"/>
      <c r="TIK73" s="799"/>
      <c r="TIL73" s="800"/>
      <c r="TIM73" s="800"/>
      <c r="TIN73" s="800"/>
      <c r="TIO73" s="800"/>
      <c r="TIP73" s="800"/>
      <c r="TIQ73" s="705"/>
      <c r="TIR73" s="799"/>
      <c r="TIS73" s="800"/>
      <c r="TIT73" s="800"/>
      <c r="TIU73" s="800"/>
      <c r="TIV73" s="800"/>
      <c r="TIW73" s="800"/>
      <c r="TIX73" s="705"/>
      <c r="TIY73" s="799"/>
      <c r="TIZ73" s="800"/>
      <c r="TJA73" s="800"/>
      <c r="TJB73" s="800"/>
      <c r="TJC73" s="800"/>
      <c r="TJD73" s="800"/>
      <c r="TJE73" s="705"/>
      <c r="TJF73" s="799"/>
      <c r="TJG73" s="800"/>
      <c r="TJH73" s="800"/>
      <c r="TJI73" s="800"/>
      <c r="TJJ73" s="800"/>
      <c r="TJK73" s="800"/>
      <c r="TJL73" s="705"/>
      <c r="TJM73" s="799"/>
      <c r="TJN73" s="800"/>
      <c r="TJO73" s="800"/>
      <c r="TJP73" s="800"/>
      <c r="TJQ73" s="800"/>
      <c r="TJR73" s="800"/>
      <c r="TJS73" s="705"/>
      <c r="TJT73" s="799"/>
      <c r="TJU73" s="800"/>
      <c r="TJV73" s="800"/>
      <c r="TJW73" s="800"/>
      <c r="TJX73" s="800"/>
      <c r="TJY73" s="800"/>
      <c r="TJZ73" s="705"/>
      <c r="TKA73" s="799"/>
      <c r="TKB73" s="800"/>
      <c r="TKC73" s="800"/>
      <c r="TKD73" s="800"/>
      <c r="TKE73" s="800"/>
      <c r="TKF73" s="800"/>
      <c r="TKG73" s="705"/>
      <c r="TKH73" s="799"/>
      <c r="TKI73" s="800"/>
      <c r="TKJ73" s="800"/>
      <c r="TKK73" s="800"/>
      <c r="TKL73" s="800"/>
      <c r="TKM73" s="800"/>
      <c r="TKN73" s="705"/>
      <c r="TKO73" s="799"/>
      <c r="TKP73" s="800"/>
      <c r="TKQ73" s="800"/>
      <c r="TKR73" s="800"/>
      <c r="TKS73" s="800"/>
      <c r="TKT73" s="800"/>
      <c r="TKU73" s="705"/>
      <c r="TKV73" s="799"/>
      <c r="TKW73" s="800"/>
      <c r="TKX73" s="800"/>
      <c r="TKY73" s="800"/>
      <c r="TKZ73" s="800"/>
      <c r="TLA73" s="800"/>
      <c r="TLB73" s="705"/>
      <c r="TLC73" s="799"/>
      <c r="TLD73" s="800"/>
      <c r="TLE73" s="800"/>
      <c r="TLF73" s="800"/>
      <c r="TLG73" s="800"/>
      <c r="TLH73" s="800"/>
      <c r="TLI73" s="705"/>
      <c r="TLJ73" s="799"/>
      <c r="TLK73" s="800"/>
      <c r="TLL73" s="800"/>
      <c r="TLM73" s="800"/>
      <c r="TLN73" s="800"/>
      <c r="TLO73" s="800"/>
      <c r="TLP73" s="705"/>
      <c r="TLQ73" s="799"/>
      <c r="TLR73" s="800"/>
      <c r="TLS73" s="800"/>
      <c r="TLT73" s="800"/>
      <c r="TLU73" s="800"/>
      <c r="TLV73" s="800"/>
      <c r="TLW73" s="705"/>
      <c r="TLX73" s="799"/>
      <c r="TLY73" s="800"/>
      <c r="TLZ73" s="800"/>
      <c r="TMA73" s="800"/>
      <c r="TMB73" s="800"/>
      <c r="TMC73" s="800"/>
      <c r="TMD73" s="705"/>
      <c r="TME73" s="799"/>
      <c r="TMF73" s="800"/>
      <c r="TMG73" s="800"/>
      <c r="TMH73" s="800"/>
      <c r="TMI73" s="800"/>
      <c r="TMJ73" s="800"/>
      <c r="TMK73" s="705"/>
      <c r="TML73" s="799"/>
      <c r="TMM73" s="800"/>
      <c r="TMN73" s="800"/>
      <c r="TMO73" s="800"/>
      <c r="TMP73" s="800"/>
      <c r="TMQ73" s="800"/>
      <c r="TMR73" s="705"/>
      <c r="TMS73" s="799"/>
      <c r="TMT73" s="800"/>
      <c r="TMU73" s="800"/>
      <c r="TMV73" s="800"/>
      <c r="TMW73" s="800"/>
      <c r="TMX73" s="800"/>
      <c r="TMY73" s="705"/>
      <c r="TMZ73" s="799"/>
      <c r="TNA73" s="800"/>
      <c r="TNB73" s="800"/>
      <c r="TNC73" s="800"/>
      <c r="TND73" s="800"/>
      <c r="TNE73" s="800"/>
      <c r="TNF73" s="705"/>
      <c r="TNG73" s="799"/>
      <c r="TNH73" s="800"/>
      <c r="TNI73" s="800"/>
      <c r="TNJ73" s="800"/>
      <c r="TNK73" s="800"/>
      <c r="TNL73" s="800"/>
      <c r="TNM73" s="705"/>
      <c r="TNN73" s="799"/>
      <c r="TNO73" s="800"/>
      <c r="TNP73" s="800"/>
      <c r="TNQ73" s="800"/>
      <c r="TNR73" s="800"/>
      <c r="TNS73" s="800"/>
      <c r="TNT73" s="705"/>
      <c r="TNU73" s="799"/>
      <c r="TNV73" s="800"/>
      <c r="TNW73" s="800"/>
      <c r="TNX73" s="800"/>
      <c r="TNY73" s="800"/>
      <c r="TNZ73" s="800"/>
      <c r="TOA73" s="705"/>
      <c r="TOB73" s="799"/>
      <c r="TOC73" s="800"/>
      <c r="TOD73" s="800"/>
      <c r="TOE73" s="800"/>
      <c r="TOF73" s="800"/>
      <c r="TOG73" s="800"/>
      <c r="TOH73" s="705"/>
      <c r="TOI73" s="799"/>
      <c r="TOJ73" s="800"/>
      <c r="TOK73" s="800"/>
      <c r="TOL73" s="800"/>
      <c r="TOM73" s="800"/>
      <c r="TON73" s="800"/>
      <c r="TOO73" s="705"/>
      <c r="TOP73" s="799"/>
      <c r="TOQ73" s="800"/>
      <c r="TOR73" s="800"/>
      <c r="TOS73" s="800"/>
      <c r="TOT73" s="800"/>
      <c r="TOU73" s="800"/>
      <c r="TOV73" s="705"/>
      <c r="TOW73" s="799"/>
      <c r="TOX73" s="800"/>
      <c r="TOY73" s="800"/>
      <c r="TOZ73" s="800"/>
      <c r="TPA73" s="800"/>
      <c r="TPB73" s="800"/>
      <c r="TPC73" s="705"/>
      <c r="TPD73" s="799"/>
      <c r="TPE73" s="800"/>
      <c r="TPF73" s="800"/>
      <c r="TPG73" s="800"/>
      <c r="TPH73" s="800"/>
      <c r="TPI73" s="800"/>
      <c r="TPJ73" s="705"/>
      <c r="TPK73" s="799"/>
      <c r="TPL73" s="800"/>
      <c r="TPM73" s="800"/>
      <c r="TPN73" s="800"/>
      <c r="TPO73" s="800"/>
      <c r="TPP73" s="800"/>
      <c r="TPQ73" s="705"/>
      <c r="TPR73" s="799"/>
      <c r="TPS73" s="800"/>
      <c r="TPT73" s="800"/>
      <c r="TPU73" s="800"/>
      <c r="TPV73" s="800"/>
      <c r="TPW73" s="800"/>
      <c r="TPX73" s="705"/>
      <c r="TPY73" s="799"/>
      <c r="TPZ73" s="800"/>
      <c r="TQA73" s="800"/>
      <c r="TQB73" s="800"/>
      <c r="TQC73" s="800"/>
      <c r="TQD73" s="800"/>
      <c r="TQE73" s="705"/>
      <c r="TQF73" s="799"/>
      <c r="TQG73" s="800"/>
      <c r="TQH73" s="800"/>
      <c r="TQI73" s="800"/>
      <c r="TQJ73" s="800"/>
      <c r="TQK73" s="800"/>
      <c r="TQL73" s="705"/>
      <c r="TQM73" s="799"/>
      <c r="TQN73" s="800"/>
      <c r="TQO73" s="800"/>
      <c r="TQP73" s="800"/>
      <c r="TQQ73" s="800"/>
      <c r="TQR73" s="800"/>
      <c r="TQS73" s="705"/>
      <c r="TQT73" s="799"/>
      <c r="TQU73" s="800"/>
      <c r="TQV73" s="800"/>
      <c r="TQW73" s="800"/>
      <c r="TQX73" s="800"/>
      <c r="TQY73" s="800"/>
      <c r="TQZ73" s="705"/>
      <c r="TRA73" s="799"/>
      <c r="TRB73" s="800"/>
      <c r="TRC73" s="800"/>
      <c r="TRD73" s="800"/>
      <c r="TRE73" s="800"/>
      <c r="TRF73" s="800"/>
      <c r="TRG73" s="705"/>
      <c r="TRH73" s="799"/>
      <c r="TRI73" s="800"/>
      <c r="TRJ73" s="800"/>
      <c r="TRK73" s="800"/>
      <c r="TRL73" s="800"/>
      <c r="TRM73" s="800"/>
      <c r="TRN73" s="705"/>
      <c r="TRO73" s="799"/>
      <c r="TRP73" s="800"/>
      <c r="TRQ73" s="800"/>
      <c r="TRR73" s="800"/>
      <c r="TRS73" s="800"/>
      <c r="TRT73" s="800"/>
      <c r="TRU73" s="705"/>
      <c r="TRV73" s="799"/>
      <c r="TRW73" s="800"/>
      <c r="TRX73" s="800"/>
      <c r="TRY73" s="800"/>
      <c r="TRZ73" s="800"/>
      <c r="TSA73" s="800"/>
      <c r="TSB73" s="705"/>
      <c r="TSC73" s="799"/>
      <c r="TSD73" s="800"/>
      <c r="TSE73" s="800"/>
      <c r="TSF73" s="800"/>
      <c r="TSG73" s="800"/>
      <c r="TSH73" s="800"/>
      <c r="TSI73" s="705"/>
      <c r="TSJ73" s="799"/>
      <c r="TSK73" s="800"/>
      <c r="TSL73" s="800"/>
      <c r="TSM73" s="800"/>
      <c r="TSN73" s="800"/>
      <c r="TSO73" s="800"/>
      <c r="TSP73" s="705"/>
      <c r="TSQ73" s="799"/>
      <c r="TSR73" s="800"/>
      <c r="TSS73" s="800"/>
      <c r="TST73" s="800"/>
      <c r="TSU73" s="800"/>
      <c r="TSV73" s="800"/>
      <c r="TSW73" s="705"/>
      <c r="TSX73" s="799"/>
      <c r="TSY73" s="800"/>
      <c r="TSZ73" s="800"/>
      <c r="TTA73" s="800"/>
      <c r="TTB73" s="800"/>
      <c r="TTC73" s="800"/>
      <c r="TTD73" s="705"/>
      <c r="TTE73" s="799"/>
      <c r="TTF73" s="800"/>
      <c r="TTG73" s="800"/>
      <c r="TTH73" s="800"/>
      <c r="TTI73" s="800"/>
      <c r="TTJ73" s="800"/>
      <c r="TTK73" s="705"/>
      <c r="TTL73" s="799"/>
      <c r="TTM73" s="800"/>
      <c r="TTN73" s="800"/>
      <c r="TTO73" s="800"/>
      <c r="TTP73" s="800"/>
      <c r="TTQ73" s="800"/>
      <c r="TTR73" s="705"/>
      <c r="TTS73" s="799"/>
      <c r="TTT73" s="800"/>
      <c r="TTU73" s="800"/>
      <c r="TTV73" s="800"/>
      <c r="TTW73" s="800"/>
      <c r="TTX73" s="800"/>
      <c r="TTY73" s="705"/>
      <c r="TTZ73" s="799"/>
      <c r="TUA73" s="800"/>
      <c r="TUB73" s="800"/>
      <c r="TUC73" s="800"/>
      <c r="TUD73" s="800"/>
      <c r="TUE73" s="800"/>
      <c r="TUF73" s="705"/>
      <c r="TUG73" s="799"/>
      <c r="TUH73" s="800"/>
      <c r="TUI73" s="800"/>
      <c r="TUJ73" s="800"/>
      <c r="TUK73" s="800"/>
      <c r="TUL73" s="800"/>
      <c r="TUM73" s="705"/>
      <c r="TUN73" s="799"/>
      <c r="TUO73" s="800"/>
      <c r="TUP73" s="800"/>
      <c r="TUQ73" s="800"/>
      <c r="TUR73" s="800"/>
      <c r="TUS73" s="800"/>
      <c r="TUT73" s="705"/>
      <c r="TUU73" s="799"/>
      <c r="TUV73" s="800"/>
      <c r="TUW73" s="800"/>
      <c r="TUX73" s="800"/>
      <c r="TUY73" s="800"/>
      <c r="TUZ73" s="800"/>
      <c r="TVA73" s="705"/>
      <c r="TVB73" s="799"/>
      <c r="TVC73" s="800"/>
      <c r="TVD73" s="800"/>
      <c r="TVE73" s="800"/>
      <c r="TVF73" s="800"/>
      <c r="TVG73" s="800"/>
      <c r="TVH73" s="705"/>
      <c r="TVI73" s="799"/>
      <c r="TVJ73" s="800"/>
      <c r="TVK73" s="800"/>
      <c r="TVL73" s="800"/>
      <c r="TVM73" s="800"/>
      <c r="TVN73" s="800"/>
      <c r="TVO73" s="705"/>
      <c r="TVP73" s="799"/>
      <c r="TVQ73" s="800"/>
      <c r="TVR73" s="800"/>
      <c r="TVS73" s="800"/>
      <c r="TVT73" s="800"/>
      <c r="TVU73" s="800"/>
      <c r="TVV73" s="705"/>
      <c r="TVW73" s="799"/>
      <c r="TVX73" s="800"/>
      <c r="TVY73" s="800"/>
      <c r="TVZ73" s="800"/>
      <c r="TWA73" s="800"/>
      <c r="TWB73" s="800"/>
      <c r="TWC73" s="705"/>
      <c r="TWD73" s="799"/>
      <c r="TWE73" s="800"/>
      <c r="TWF73" s="800"/>
      <c r="TWG73" s="800"/>
      <c r="TWH73" s="800"/>
      <c r="TWI73" s="800"/>
      <c r="TWJ73" s="705"/>
      <c r="TWK73" s="799"/>
      <c r="TWL73" s="800"/>
      <c r="TWM73" s="800"/>
      <c r="TWN73" s="800"/>
      <c r="TWO73" s="800"/>
      <c r="TWP73" s="800"/>
      <c r="TWQ73" s="705"/>
      <c r="TWR73" s="799"/>
      <c r="TWS73" s="800"/>
      <c r="TWT73" s="800"/>
      <c r="TWU73" s="800"/>
      <c r="TWV73" s="800"/>
      <c r="TWW73" s="800"/>
      <c r="TWX73" s="705"/>
      <c r="TWY73" s="799"/>
      <c r="TWZ73" s="800"/>
      <c r="TXA73" s="800"/>
      <c r="TXB73" s="800"/>
      <c r="TXC73" s="800"/>
      <c r="TXD73" s="800"/>
      <c r="TXE73" s="705"/>
      <c r="TXF73" s="799"/>
      <c r="TXG73" s="800"/>
      <c r="TXH73" s="800"/>
      <c r="TXI73" s="800"/>
      <c r="TXJ73" s="800"/>
      <c r="TXK73" s="800"/>
      <c r="TXL73" s="705"/>
      <c r="TXM73" s="799"/>
      <c r="TXN73" s="800"/>
      <c r="TXO73" s="800"/>
      <c r="TXP73" s="800"/>
      <c r="TXQ73" s="800"/>
      <c r="TXR73" s="800"/>
      <c r="TXS73" s="705"/>
      <c r="TXT73" s="799"/>
      <c r="TXU73" s="800"/>
      <c r="TXV73" s="800"/>
      <c r="TXW73" s="800"/>
      <c r="TXX73" s="800"/>
      <c r="TXY73" s="800"/>
      <c r="TXZ73" s="705"/>
      <c r="TYA73" s="799"/>
      <c r="TYB73" s="800"/>
      <c r="TYC73" s="800"/>
      <c r="TYD73" s="800"/>
      <c r="TYE73" s="800"/>
      <c r="TYF73" s="800"/>
      <c r="TYG73" s="705"/>
      <c r="TYH73" s="799"/>
      <c r="TYI73" s="800"/>
      <c r="TYJ73" s="800"/>
      <c r="TYK73" s="800"/>
      <c r="TYL73" s="800"/>
      <c r="TYM73" s="800"/>
      <c r="TYN73" s="705"/>
      <c r="TYO73" s="799"/>
      <c r="TYP73" s="800"/>
      <c r="TYQ73" s="800"/>
      <c r="TYR73" s="800"/>
      <c r="TYS73" s="800"/>
      <c r="TYT73" s="800"/>
      <c r="TYU73" s="705"/>
      <c r="TYV73" s="799"/>
      <c r="TYW73" s="800"/>
      <c r="TYX73" s="800"/>
      <c r="TYY73" s="800"/>
      <c r="TYZ73" s="800"/>
      <c r="TZA73" s="800"/>
      <c r="TZB73" s="705"/>
      <c r="TZC73" s="799"/>
      <c r="TZD73" s="800"/>
      <c r="TZE73" s="800"/>
      <c r="TZF73" s="800"/>
      <c r="TZG73" s="800"/>
      <c r="TZH73" s="800"/>
      <c r="TZI73" s="705"/>
      <c r="TZJ73" s="799"/>
      <c r="TZK73" s="800"/>
      <c r="TZL73" s="800"/>
      <c r="TZM73" s="800"/>
      <c r="TZN73" s="800"/>
      <c r="TZO73" s="800"/>
      <c r="TZP73" s="705"/>
      <c r="TZQ73" s="799"/>
      <c r="TZR73" s="800"/>
      <c r="TZS73" s="800"/>
      <c r="TZT73" s="800"/>
      <c r="TZU73" s="800"/>
      <c r="TZV73" s="800"/>
      <c r="TZW73" s="705"/>
      <c r="TZX73" s="799"/>
      <c r="TZY73" s="800"/>
      <c r="TZZ73" s="800"/>
      <c r="UAA73" s="800"/>
      <c r="UAB73" s="800"/>
      <c r="UAC73" s="800"/>
      <c r="UAD73" s="705"/>
      <c r="UAE73" s="799"/>
      <c r="UAF73" s="800"/>
      <c r="UAG73" s="800"/>
      <c r="UAH73" s="800"/>
      <c r="UAI73" s="800"/>
      <c r="UAJ73" s="800"/>
      <c r="UAK73" s="705"/>
      <c r="UAL73" s="799"/>
      <c r="UAM73" s="800"/>
      <c r="UAN73" s="800"/>
      <c r="UAO73" s="800"/>
      <c r="UAP73" s="800"/>
      <c r="UAQ73" s="800"/>
      <c r="UAR73" s="705"/>
      <c r="UAS73" s="799"/>
      <c r="UAT73" s="800"/>
      <c r="UAU73" s="800"/>
      <c r="UAV73" s="800"/>
      <c r="UAW73" s="800"/>
      <c r="UAX73" s="800"/>
      <c r="UAY73" s="705"/>
      <c r="UAZ73" s="799"/>
      <c r="UBA73" s="800"/>
      <c r="UBB73" s="800"/>
      <c r="UBC73" s="800"/>
      <c r="UBD73" s="800"/>
      <c r="UBE73" s="800"/>
      <c r="UBF73" s="705"/>
      <c r="UBG73" s="799"/>
      <c r="UBH73" s="800"/>
      <c r="UBI73" s="800"/>
      <c r="UBJ73" s="800"/>
      <c r="UBK73" s="800"/>
      <c r="UBL73" s="800"/>
      <c r="UBM73" s="705"/>
      <c r="UBN73" s="799"/>
      <c r="UBO73" s="800"/>
      <c r="UBP73" s="800"/>
      <c r="UBQ73" s="800"/>
      <c r="UBR73" s="800"/>
      <c r="UBS73" s="800"/>
      <c r="UBT73" s="705"/>
      <c r="UBU73" s="799"/>
      <c r="UBV73" s="800"/>
      <c r="UBW73" s="800"/>
      <c r="UBX73" s="800"/>
      <c r="UBY73" s="800"/>
      <c r="UBZ73" s="800"/>
      <c r="UCA73" s="705"/>
      <c r="UCB73" s="799"/>
      <c r="UCC73" s="800"/>
      <c r="UCD73" s="800"/>
      <c r="UCE73" s="800"/>
      <c r="UCF73" s="800"/>
      <c r="UCG73" s="800"/>
      <c r="UCH73" s="705"/>
      <c r="UCI73" s="799"/>
      <c r="UCJ73" s="800"/>
      <c r="UCK73" s="800"/>
      <c r="UCL73" s="800"/>
      <c r="UCM73" s="800"/>
      <c r="UCN73" s="800"/>
      <c r="UCO73" s="705"/>
      <c r="UCP73" s="799"/>
      <c r="UCQ73" s="800"/>
      <c r="UCR73" s="800"/>
      <c r="UCS73" s="800"/>
      <c r="UCT73" s="800"/>
      <c r="UCU73" s="800"/>
      <c r="UCV73" s="705"/>
      <c r="UCW73" s="799"/>
      <c r="UCX73" s="800"/>
      <c r="UCY73" s="800"/>
      <c r="UCZ73" s="800"/>
      <c r="UDA73" s="800"/>
      <c r="UDB73" s="800"/>
      <c r="UDC73" s="705"/>
      <c r="UDD73" s="799"/>
      <c r="UDE73" s="800"/>
      <c r="UDF73" s="800"/>
      <c r="UDG73" s="800"/>
      <c r="UDH73" s="800"/>
      <c r="UDI73" s="800"/>
      <c r="UDJ73" s="705"/>
      <c r="UDK73" s="799"/>
      <c r="UDL73" s="800"/>
      <c r="UDM73" s="800"/>
      <c r="UDN73" s="800"/>
      <c r="UDO73" s="800"/>
      <c r="UDP73" s="800"/>
      <c r="UDQ73" s="705"/>
      <c r="UDR73" s="799"/>
      <c r="UDS73" s="800"/>
      <c r="UDT73" s="800"/>
      <c r="UDU73" s="800"/>
      <c r="UDV73" s="800"/>
      <c r="UDW73" s="800"/>
      <c r="UDX73" s="705"/>
      <c r="UDY73" s="799"/>
      <c r="UDZ73" s="800"/>
      <c r="UEA73" s="800"/>
      <c r="UEB73" s="800"/>
      <c r="UEC73" s="800"/>
      <c r="UED73" s="800"/>
      <c r="UEE73" s="705"/>
      <c r="UEF73" s="799"/>
      <c r="UEG73" s="800"/>
      <c r="UEH73" s="800"/>
      <c r="UEI73" s="800"/>
      <c r="UEJ73" s="800"/>
      <c r="UEK73" s="800"/>
      <c r="UEL73" s="705"/>
      <c r="UEM73" s="799"/>
      <c r="UEN73" s="800"/>
      <c r="UEO73" s="800"/>
      <c r="UEP73" s="800"/>
      <c r="UEQ73" s="800"/>
      <c r="UER73" s="800"/>
      <c r="UES73" s="705"/>
      <c r="UET73" s="799"/>
      <c r="UEU73" s="800"/>
      <c r="UEV73" s="800"/>
      <c r="UEW73" s="800"/>
      <c r="UEX73" s="800"/>
      <c r="UEY73" s="800"/>
      <c r="UEZ73" s="705"/>
      <c r="UFA73" s="799"/>
      <c r="UFB73" s="800"/>
      <c r="UFC73" s="800"/>
      <c r="UFD73" s="800"/>
      <c r="UFE73" s="800"/>
      <c r="UFF73" s="800"/>
      <c r="UFG73" s="705"/>
      <c r="UFH73" s="799"/>
      <c r="UFI73" s="800"/>
      <c r="UFJ73" s="800"/>
      <c r="UFK73" s="800"/>
      <c r="UFL73" s="800"/>
      <c r="UFM73" s="800"/>
      <c r="UFN73" s="705"/>
      <c r="UFO73" s="799"/>
      <c r="UFP73" s="800"/>
      <c r="UFQ73" s="800"/>
      <c r="UFR73" s="800"/>
      <c r="UFS73" s="800"/>
      <c r="UFT73" s="800"/>
      <c r="UFU73" s="705"/>
      <c r="UFV73" s="799"/>
      <c r="UFW73" s="800"/>
      <c r="UFX73" s="800"/>
      <c r="UFY73" s="800"/>
      <c r="UFZ73" s="800"/>
      <c r="UGA73" s="800"/>
      <c r="UGB73" s="705"/>
      <c r="UGC73" s="799"/>
      <c r="UGD73" s="800"/>
      <c r="UGE73" s="800"/>
      <c r="UGF73" s="800"/>
      <c r="UGG73" s="800"/>
      <c r="UGH73" s="800"/>
      <c r="UGI73" s="705"/>
      <c r="UGJ73" s="799"/>
      <c r="UGK73" s="800"/>
      <c r="UGL73" s="800"/>
      <c r="UGM73" s="800"/>
      <c r="UGN73" s="800"/>
      <c r="UGO73" s="800"/>
      <c r="UGP73" s="705"/>
      <c r="UGQ73" s="799"/>
      <c r="UGR73" s="800"/>
      <c r="UGS73" s="800"/>
      <c r="UGT73" s="800"/>
      <c r="UGU73" s="800"/>
      <c r="UGV73" s="800"/>
      <c r="UGW73" s="705"/>
      <c r="UGX73" s="799"/>
      <c r="UGY73" s="800"/>
      <c r="UGZ73" s="800"/>
      <c r="UHA73" s="800"/>
      <c r="UHB73" s="800"/>
      <c r="UHC73" s="800"/>
      <c r="UHD73" s="705"/>
      <c r="UHE73" s="799"/>
      <c r="UHF73" s="800"/>
      <c r="UHG73" s="800"/>
      <c r="UHH73" s="800"/>
      <c r="UHI73" s="800"/>
      <c r="UHJ73" s="800"/>
      <c r="UHK73" s="705"/>
      <c r="UHL73" s="799"/>
      <c r="UHM73" s="800"/>
      <c r="UHN73" s="800"/>
      <c r="UHO73" s="800"/>
      <c r="UHP73" s="800"/>
      <c r="UHQ73" s="800"/>
      <c r="UHR73" s="705"/>
      <c r="UHS73" s="799"/>
      <c r="UHT73" s="800"/>
      <c r="UHU73" s="800"/>
      <c r="UHV73" s="800"/>
      <c r="UHW73" s="800"/>
      <c r="UHX73" s="800"/>
      <c r="UHY73" s="705"/>
      <c r="UHZ73" s="799"/>
      <c r="UIA73" s="800"/>
      <c r="UIB73" s="800"/>
      <c r="UIC73" s="800"/>
      <c r="UID73" s="800"/>
      <c r="UIE73" s="800"/>
      <c r="UIF73" s="705"/>
      <c r="UIG73" s="799"/>
      <c r="UIH73" s="800"/>
      <c r="UII73" s="800"/>
      <c r="UIJ73" s="800"/>
      <c r="UIK73" s="800"/>
      <c r="UIL73" s="800"/>
      <c r="UIM73" s="705"/>
      <c r="UIN73" s="799"/>
      <c r="UIO73" s="800"/>
      <c r="UIP73" s="800"/>
      <c r="UIQ73" s="800"/>
      <c r="UIR73" s="800"/>
      <c r="UIS73" s="800"/>
      <c r="UIT73" s="705"/>
      <c r="UIU73" s="799"/>
      <c r="UIV73" s="800"/>
      <c r="UIW73" s="800"/>
      <c r="UIX73" s="800"/>
      <c r="UIY73" s="800"/>
      <c r="UIZ73" s="800"/>
      <c r="UJA73" s="705"/>
      <c r="UJB73" s="799"/>
      <c r="UJC73" s="800"/>
      <c r="UJD73" s="800"/>
      <c r="UJE73" s="800"/>
      <c r="UJF73" s="800"/>
      <c r="UJG73" s="800"/>
      <c r="UJH73" s="705"/>
      <c r="UJI73" s="799"/>
      <c r="UJJ73" s="800"/>
      <c r="UJK73" s="800"/>
      <c r="UJL73" s="800"/>
      <c r="UJM73" s="800"/>
      <c r="UJN73" s="800"/>
      <c r="UJO73" s="705"/>
      <c r="UJP73" s="799"/>
      <c r="UJQ73" s="800"/>
      <c r="UJR73" s="800"/>
      <c r="UJS73" s="800"/>
      <c r="UJT73" s="800"/>
      <c r="UJU73" s="800"/>
      <c r="UJV73" s="705"/>
      <c r="UJW73" s="799"/>
      <c r="UJX73" s="800"/>
      <c r="UJY73" s="800"/>
      <c r="UJZ73" s="800"/>
      <c r="UKA73" s="800"/>
      <c r="UKB73" s="800"/>
      <c r="UKC73" s="705"/>
      <c r="UKD73" s="799"/>
      <c r="UKE73" s="800"/>
      <c r="UKF73" s="800"/>
      <c r="UKG73" s="800"/>
      <c r="UKH73" s="800"/>
      <c r="UKI73" s="800"/>
      <c r="UKJ73" s="705"/>
      <c r="UKK73" s="799"/>
      <c r="UKL73" s="800"/>
      <c r="UKM73" s="800"/>
      <c r="UKN73" s="800"/>
      <c r="UKO73" s="800"/>
      <c r="UKP73" s="800"/>
      <c r="UKQ73" s="705"/>
      <c r="UKR73" s="799"/>
      <c r="UKS73" s="800"/>
      <c r="UKT73" s="800"/>
      <c r="UKU73" s="800"/>
      <c r="UKV73" s="800"/>
      <c r="UKW73" s="800"/>
      <c r="UKX73" s="705"/>
      <c r="UKY73" s="799"/>
      <c r="UKZ73" s="800"/>
      <c r="ULA73" s="800"/>
      <c r="ULB73" s="800"/>
      <c r="ULC73" s="800"/>
      <c r="ULD73" s="800"/>
      <c r="ULE73" s="705"/>
      <c r="ULF73" s="799"/>
      <c r="ULG73" s="800"/>
      <c r="ULH73" s="800"/>
      <c r="ULI73" s="800"/>
      <c r="ULJ73" s="800"/>
      <c r="ULK73" s="800"/>
      <c r="ULL73" s="705"/>
      <c r="ULM73" s="799"/>
      <c r="ULN73" s="800"/>
      <c r="ULO73" s="800"/>
      <c r="ULP73" s="800"/>
      <c r="ULQ73" s="800"/>
      <c r="ULR73" s="800"/>
      <c r="ULS73" s="705"/>
      <c r="ULT73" s="799"/>
      <c r="ULU73" s="800"/>
      <c r="ULV73" s="800"/>
      <c r="ULW73" s="800"/>
      <c r="ULX73" s="800"/>
      <c r="ULY73" s="800"/>
      <c r="ULZ73" s="705"/>
      <c r="UMA73" s="799"/>
      <c r="UMB73" s="800"/>
      <c r="UMC73" s="800"/>
      <c r="UMD73" s="800"/>
      <c r="UME73" s="800"/>
      <c r="UMF73" s="800"/>
      <c r="UMG73" s="705"/>
      <c r="UMH73" s="799"/>
      <c r="UMI73" s="800"/>
      <c r="UMJ73" s="800"/>
      <c r="UMK73" s="800"/>
      <c r="UML73" s="800"/>
      <c r="UMM73" s="800"/>
      <c r="UMN73" s="705"/>
      <c r="UMO73" s="799"/>
      <c r="UMP73" s="800"/>
      <c r="UMQ73" s="800"/>
      <c r="UMR73" s="800"/>
      <c r="UMS73" s="800"/>
      <c r="UMT73" s="800"/>
      <c r="UMU73" s="705"/>
      <c r="UMV73" s="799"/>
      <c r="UMW73" s="800"/>
      <c r="UMX73" s="800"/>
      <c r="UMY73" s="800"/>
      <c r="UMZ73" s="800"/>
      <c r="UNA73" s="800"/>
      <c r="UNB73" s="705"/>
      <c r="UNC73" s="799"/>
      <c r="UND73" s="800"/>
      <c r="UNE73" s="800"/>
      <c r="UNF73" s="800"/>
      <c r="UNG73" s="800"/>
      <c r="UNH73" s="800"/>
      <c r="UNI73" s="705"/>
      <c r="UNJ73" s="799"/>
      <c r="UNK73" s="800"/>
      <c r="UNL73" s="800"/>
      <c r="UNM73" s="800"/>
      <c r="UNN73" s="800"/>
      <c r="UNO73" s="800"/>
      <c r="UNP73" s="705"/>
      <c r="UNQ73" s="799"/>
      <c r="UNR73" s="800"/>
      <c r="UNS73" s="800"/>
      <c r="UNT73" s="800"/>
      <c r="UNU73" s="800"/>
      <c r="UNV73" s="800"/>
      <c r="UNW73" s="705"/>
      <c r="UNX73" s="799"/>
      <c r="UNY73" s="800"/>
      <c r="UNZ73" s="800"/>
      <c r="UOA73" s="800"/>
      <c r="UOB73" s="800"/>
      <c r="UOC73" s="800"/>
      <c r="UOD73" s="705"/>
      <c r="UOE73" s="799"/>
      <c r="UOF73" s="800"/>
      <c r="UOG73" s="800"/>
      <c r="UOH73" s="800"/>
      <c r="UOI73" s="800"/>
      <c r="UOJ73" s="800"/>
      <c r="UOK73" s="705"/>
      <c r="UOL73" s="799"/>
      <c r="UOM73" s="800"/>
      <c r="UON73" s="800"/>
      <c r="UOO73" s="800"/>
      <c r="UOP73" s="800"/>
      <c r="UOQ73" s="800"/>
      <c r="UOR73" s="705"/>
      <c r="UOS73" s="799"/>
      <c r="UOT73" s="800"/>
      <c r="UOU73" s="800"/>
      <c r="UOV73" s="800"/>
      <c r="UOW73" s="800"/>
      <c r="UOX73" s="800"/>
      <c r="UOY73" s="705"/>
      <c r="UOZ73" s="799"/>
      <c r="UPA73" s="800"/>
      <c r="UPB73" s="800"/>
      <c r="UPC73" s="800"/>
      <c r="UPD73" s="800"/>
      <c r="UPE73" s="800"/>
      <c r="UPF73" s="705"/>
      <c r="UPG73" s="799"/>
      <c r="UPH73" s="800"/>
      <c r="UPI73" s="800"/>
      <c r="UPJ73" s="800"/>
      <c r="UPK73" s="800"/>
      <c r="UPL73" s="800"/>
      <c r="UPM73" s="705"/>
      <c r="UPN73" s="799"/>
      <c r="UPO73" s="800"/>
      <c r="UPP73" s="800"/>
      <c r="UPQ73" s="800"/>
      <c r="UPR73" s="800"/>
      <c r="UPS73" s="800"/>
      <c r="UPT73" s="705"/>
      <c r="UPU73" s="799"/>
      <c r="UPV73" s="800"/>
      <c r="UPW73" s="800"/>
      <c r="UPX73" s="800"/>
      <c r="UPY73" s="800"/>
      <c r="UPZ73" s="800"/>
      <c r="UQA73" s="705"/>
      <c r="UQB73" s="799"/>
      <c r="UQC73" s="800"/>
      <c r="UQD73" s="800"/>
      <c r="UQE73" s="800"/>
      <c r="UQF73" s="800"/>
      <c r="UQG73" s="800"/>
      <c r="UQH73" s="705"/>
      <c r="UQI73" s="799"/>
      <c r="UQJ73" s="800"/>
      <c r="UQK73" s="800"/>
      <c r="UQL73" s="800"/>
      <c r="UQM73" s="800"/>
      <c r="UQN73" s="800"/>
      <c r="UQO73" s="705"/>
      <c r="UQP73" s="799"/>
      <c r="UQQ73" s="800"/>
      <c r="UQR73" s="800"/>
      <c r="UQS73" s="800"/>
      <c r="UQT73" s="800"/>
      <c r="UQU73" s="800"/>
      <c r="UQV73" s="705"/>
      <c r="UQW73" s="799"/>
      <c r="UQX73" s="800"/>
      <c r="UQY73" s="800"/>
      <c r="UQZ73" s="800"/>
      <c r="URA73" s="800"/>
      <c r="URB73" s="800"/>
      <c r="URC73" s="705"/>
      <c r="URD73" s="799"/>
      <c r="URE73" s="800"/>
      <c r="URF73" s="800"/>
      <c r="URG73" s="800"/>
      <c r="URH73" s="800"/>
      <c r="URI73" s="800"/>
      <c r="URJ73" s="705"/>
      <c r="URK73" s="799"/>
      <c r="URL73" s="800"/>
      <c r="URM73" s="800"/>
      <c r="URN73" s="800"/>
      <c r="URO73" s="800"/>
      <c r="URP73" s="800"/>
      <c r="URQ73" s="705"/>
      <c r="URR73" s="799"/>
      <c r="URS73" s="800"/>
      <c r="URT73" s="800"/>
      <c r="URU73" s="800"/>
      <c r="URV73" s="800"/>
      <c r="URW73" s="800"/>
      <c r="URX73" s="705"/>
      <c r="URY73" s="799"/>
      <c r="URZ73" s="800"/>
      <c r="USA73" s="800"/>
      <c r="USB73" s="800"/>
      <c r="USC73" s="800"/>
      <c r="USD73" s="800"/>
      <c r="USE73" s="705"/>
      <c r="USF73" s="799"/>
      <c r="USG73" s="800"/>
      <c r="USH73" s="800"/>
      <c r="USI73" s="800"/>
      <c r="USJ73" s="800"/>
      <c r="USK73" s="800"/>
      <c r="USL73" s="705"/>
      <c r="USM73" s="799"/>
      <c r="USN73" s="800"/>
      <c r="USO73" s="800"/>
      <c r="USP73" s="800"/>
      <c r="USQ73" s="800"/>
      <c r="USR73" s="800"/>
      <c r="USS73" s="705"/>
      <c r="UST73" s="799"/>
      <c r="USU73" s="800"/>
      <c r="USV73" s="800"/>
      <c r="USW73" s="800"/>
      <c r="USX73" s="800"/>
      <c r="USY73" s="800"/>
      <c r="USZ73" s="705"/>
      <c r="UTA73" s="799"/>
      <c r="UTB73" s="800"/>
      <c r="UTC73" s="800"/>
      <c r="UTD73" s="800"/>
      <c r="UTE73" s="800"/>
      <c r="UTF73" s="800"/>
      <c r="UTG73" s="705"/>
      <c r="UTH73" s="799"/>
      <c r="UTI73" s="800"/>
      <c r="UTJ73" s="800"/>
      <c r="UTK73" s="800"/>
      <c r="UTL73" s="800"/>
      <c r="UTM73" s="800"/>
      <c r="UTN73" s="705"/>
      <c r="UTO73" s="799"/>
      <c r="UTP73" s="800"/>
      <c r="UTQ73" s="800"/>
      <c r="UTR73" s="800"/>
      <c r="UTS73" s="800"/>
      <c r="UTT73" s="800"/>
      <c r="UTU73" s="705"/>
      <c r="UTV73" s="799"/>
      <c r="UTW73" s="800"/>
      <c r="UTX73" s="800"/>
      <c r="UTY73" s="800"/>
      <c r="UTZ73" s="800"/>
      <c r="UUA73" s="800"/>
      <c r="UUB73" s="705"/>
      <c r="UUC73" s="799"/>
      <c r="UUD73" s="800"/>
      <c r="UUE73" s="800"/>
      <c r="UUF73" s="800"/>
      <c r="UUG73" s="800"/>
      <c r="UUH73" s="800"/>
      <c r="UUI73" s="705"/>
      <c r="UUJ73" s="799"/>
      <c r="UUK73" s="800"/>
      <c r="UUL73" s="800"/>
      <c r="UUM73" s="800"/>
      <c r="UUN73" s="800"/>
      <c r="UUO73" s="800"/>
      <c r="UUP73" s="705"/>
      <c r="UUQ73" s="799"/>
      <c r="UUR73" s="800"/>
      <c r="UUS73" s="800"/>
      <c r="UUT73" s="800"/>
      <c r="UUU73" s="800"/>
      <c r="UUV73" s="800"/>
      <c r="UUW73" s="705"/>
      <c r="UUX73" s="799"/>
      <c r="UUY73" s="800"/>
      <c r="UUZ73" s="800"/>
      <c r="UVA73" s="800"/>
      <c r="UVB73" s="800"/>
      <c r="UVC73" s="800"/>
      <c r="UVD73" s="705"/>
      <c r="UVE73" s="799"/>
      <c r="UVF73" s="800"/>
      <c r="UVG73" s="800"/>
      <c r="UVH73" s="800"/>
      <c r="UVI73" s="800"/>
      <c r="UVJ73" s="800"/>
      <c r="UVK73" s="705"/>
      <c r="UVL73" s="799"/>
      <c r="UVM73" s="800"/>
      <c r="UVN73" s="800"/>
      <c r="UVO73" s="800"/>
      <c r="UVP73" s="800"/>
      <c r="UVQ73" s="800"/>
      <c r="UVR73" s="705"/>
      <c r="UVS73" s="799"/>
      <c r="UVT73" s="800"/>
      <c r="UVU73" s="800"/>
      <c r="UVV73" s="800"/>
      <c r="UVW73" s="800"/>
      <c r="UVX73" s="800"/>
      <c r="UVY73" s="705"/>
      <c r="UVZ73" s="799"/>
      <c r="UWA73" s="800"/>
      <c r="UWB73" s="800"/>
      <c r="UWC73" s="800"/>
      <c r="UWD73" s="800"/>
      <c r="UWE73" s="800"/>
      <c r="UWF73" s="705"/>
      <c r="UWG73" s="799"/>
      <c r="UWH73" s="800"/>
      <c r="UWI73" s="800"/>
      <c r="UWJ73" s="800"/>
      <c r="UWK73" s="800"/>
      <c r="UWL73" s="800"/>
      <c r="UWM73" s="705"/>
      <c r="UWN73" s="799"/>
      <c r="UWO73" s="800"/>
      <c r="UWP73" s="800"/>
      <c r="UWQ73" s="800"/>
      <c r="UWR73" s="800"/>
      <c r="UWS73" s="800"/>
      <c r="UWT73" s="705"/>
      <c r="UWU73" s="799"/>
      <c r="UWV73" s="800"/>
      <c r="UWW73" s="800"/>
      <c r="UWX73" s="800"/>
      <c r="UWY73" s="800"/>
      <c r="UWZ73" s="800"/>
      <c r="UXA73" s="705"/>
      <c r="UXB73" s="799"/>
      <c r="UXC73" s="800"/>
      <c r="UXD73" s="800"/>
      <c r="UXE73" s="800"/>
      <c r="UXF73" s="800"/>
      <c r="UXG73" s="800"/>
      <c r="UXH73" s="705"/>
      <c r="UXI73" s="799"/>
      <c r="UXJ73" s="800"/>
      <c r="UXK73" s="800"/>
      <c r="UXL73" s="800"/>
      <c r="UXM73" s="800"/>
      <c r="UXN73" s="800"/>
      <c r="UXO73" s="705"/>
      <c r="UXP73" s="799"/>
      <c r="UXQ73" s="800"/>
      <c r="UXR73" s="800"/>
      <c r="UXS73" s="800"/>
      <c r="UXT73" s="800"/>
      <c r="UXU73" s="800"/>
      <c r="UXV73" s="705"/>
      <c r="UXW73" s="799"/>
      <c r="UXX73" s="800"/>
      <c r="UXY73" s="800"/>
      <c r="UXZ73" s="800"/>
      <c r="UYA73" s="800"/>
      <c r="UYB73" s="800"/>
      <c r="UYC73" s="705"/>
      <c r="UYD73" s="799"/>
      <c r="UYE73" s="800"/>
      <c r="UYF73" s="800"/>
      <c r="UYG73" s="800"/>
      <c r="UYH73" s="800"/>
      <c r="UYI73" s="800"/>
      <c r="UYJ73" s="705"/>
      <c r="UYK73" s="799"/>
      <c r="UYL73" s="800"/>
      <c r="UYM73" s="800"/>
      <c r="UYN73" s="800"/>
      <c r="UYO73" s="800"/>
      <c r="UYP73" s="800"/>
      <c r="UYQ73" s="705"/>
      <c r="UYR73" s="799"/>
      <c r="UYS73" s="800"/>
      <c r="UYT73" s="800"/>
      <c r="UYU73" s="800"/>
      <c r="UYV73" s="800"/>
      <c r="UYW73" s="800"/>
      <c r="UYX73" s="705"/>
      <c r="UYY73" s="799"/>
      <c r="UYZ73" s="800"/>
      <c r="UZA73" s="800"/>
      <c r="UZB73" s="800"/>
      <c r="UZC73" s="800"/>
      <c r="UZD73" s="800"/>
      <c r="UZE73" s="705"/>
      <c r="UZF73" s="799"/>
      <c r="UZG73" s="800"/>
      <c r="UZH73" s="800"/>
      <c r="UZI73" s="800"/>
      <c r="UZJ73" s="800"/>
      <c r="UZK73" s="800"/>
      <c r="UZL73" s="705"/>
      <c r="UZM73" s="799"/>
      <c r="UZN73" s="800"/>
      <c r="UZO73" s="800"/>
      <c r="UZP73" s="800"/>
      <c r="UZQ73" s="800"/>
      <c r="UZR73" s="800"/>
      <c r="UZS73" s="705"/>
      <c r="UZT73" s="799"/>
      <c r="UZU73" s="800"/>
      <c r="UZV73" s="800"/>
      <c r="UZW73" s="800"/>
      <c r="UZX73" s="800"/>
      <c r="UZY73" s="800"/>
      <c r="UZZ73" s="705"/>
      <c r="VAA73" s="799"/>
      <c r="VAB73" s="800"/>
      <c r="VAC73" s="800"/>
      <c r="VAD73" s="800"/>
      <c r="VAE73" s="800"/>
      <c r="VAF73" s="800"/>
      <c r="VAG73" s="705"/>
      <c r="VAH73" s="799"/>
      <c r="VAI73" s="800"/>
      <c r="VAJ73" s="800"/>
      <c r="VAK73" s="800"/>
      <c r="VAL73" s="800"/>
      <c r="VAM73" s="800"/>
      <c r="VAN73" s="705"/>
      <c r="VAO73" s="799"/>
      <c r="VAP73" s="800"/>
      <c r="VAQ73" s="800"/>
      <c r="VAR73" s="800"/>
      <c r="VAS73" s="800"/>
      <c r="VAT73" s="800"/>
      <c r="VAU73" s="705"/>
      <c r="VAV73" s="799"/>
      <c r="VAW73" s="800"/>
      <c r="VAX73" s="800"/>
      <c r="VAY73" s="800"/>
      <c r="VAZ73" s="800"/>
      <c r="VBA73" s="800"/>
      <c r="VBB73" s="705"/>
      <c r="VBC73" s="799"/>
      <c r="VBD73" s="800"/>
      <c r="VBE73" s="800"/>
      <c r="VBF73" s="800"/>
      <c r="VBG73" s="800"/>
      <c r="VBH73" s="800"/>
      <c r="VBI73" s="705"/>
      <c r="VBJ73" s="799"/>
      <c r="VBK73" s="800"/>
      <c r="VBL73" s="800"/>
      <c r="VBM73" s="800"/>
      <c r="VBN73" s="800"/>
      <c r="VBO73" s="800"/>
      <c r="VBP73" s="705"/>
      <c r="VBQ73" s="799"/>
      <c r="VBR73" s="800"/>
      <c r="VBS73" s="800"/>
      <c r="VBT73" s="800"/>
      <c r="VBU73" s="800"/>
      <c r="VBV73" s="800"/>
      <c r="VBW73" s="705"/>
      <c r="VBX73" s="799"/>
      <c r="VBY73" s="800"/>
      <c r="VBZ73" s="800"/>
      <c r="VCA73" s="800"/>
      <c r="VCB73" s="800"/>
      <c r="VCC73" s="800"/>
      <c r="VCD73" s="705"/>
      <c r="VCE73" s="799"/>
      <c r="VCF73" s="800"/>
      <c r="VCG73" s="800"/>
      <c r="VCH73" s="800"/>
      <c r="VCI73" s="800"/>
      <c r="VCJ73" s="800"/>
      <c r="VCK73" s="705"/>
      <c r="VCL73" s="799"/>
      <c r="VCM73" s="800"/>
      <c r="VCN73" s="800"/>
      <c r="VCO73" s="800"/>
      <c r="VCP73" s="800"/>
      <c r="VCQ73" s="800"/>
      <c r="VCR73" s="705"/>
      <c r="VCS73" s="799"/>
      <c r="VCT73" s="800"/>
      <c r="VCU73" s="800"/>
      <c r="VCV73" s="800"/>
      <c r="VCW73" s="800"/>
      <c r="VCX73" s="800"/>
      <c r="VCY73" s="705"/>
      <c r="VCZ73" s="799"/>
      <c r="VDA73" s="800"/>
      <c r="VDB73" s="800"/>
      <c r="VDC73" s="800"/>
      <c r="VDD73" s="800"/>
      <c r="VDE73" s="800"/>
      <c r="VDF73" s="705"/>
      <c r="VDG73" s="799"/>
      <c r="VDH73" s="800"/>
      <c r="VDI73" s="800"/>
      <c r="VDJ73" s="800"/>
      <c r="VDK73" s="800"/>
      <c r="VDL73" s="800"/>
      <c r="VDM73" s="705"/>
      <c r="VDN73" s="799"/>
      <c r="VDO73" s="800"/>
      <c r="VDP73" s="800"/>
      <c r="VDQ73" s="800"/>
      <c r="VDR73" s="800"/>
      <c r="VDS73" s="800"/>
      <c r="VDT73" s="705"/>
      <c r="VDU73" s="799"/>
      <c r="VDV73" s="800"/>
      <c r="VDW73" s="800"/>
      <c r="VDX73" s="800"/>
      <c r="VDY73" s="800"/>
      <c r="VDZ73" s="800"/>
      <c r="VEA73" s="705"/>
      <c r="VEB73" s="799"/>
      <c r="VEC73" s="800"/>
      <c r="VED73" s="800"/>
      <c r="VEE73" s="800"/>
      <c r="VEF73" s="800"/>
      <c r="VEG73" s="800"/>
      <c r="VEH73" s="705"/>
      <c r="VEI73" s="799"/>
      <c r="VEJ73" s="800"/>
      <c r="VEK73" s="800"/>
      <c r="VEL73" s="800"/>
      <c r="VEM73" s="800"/>
      <c r="VEN73" s="800"/>
      <c r="VEO73" s="705"/>
      <c r="VEP73" s="799"/>
      <c r="VEQ73" s="800"/>
      <c r="VER73" s="800"/>
      <c r="VES73" s="800"/>
      <c r="VET73" s="800"/>
      <c r="VEU73" s="800"/>
      <c r="VEV73" s="705"/>
      <c r="VEW73" s="799"/>
      <c r="VEX73" s="800"/>
      <c r="VEY73" s="800"/>
      <c r="VEZ73" s="800"/>
      <c r="VFA73" s="800"/>
      <c r="VFB73" s="800"/>
      <c r="VFC73" s="705"/>
      <c r="VFD73" s="799"/>
      <c r="VFE73" s="800"/>
      <c r="VFF73" s="800"/>
      <c r="VFG73" s="800"/>
      <c r="VFH73" s="800"/>
      <c r="VFI73" s="800"/>
      <c r="VFJ73" s="705"/>
      <c r="VFK73" s="799"/>
      <c r="VFL73" s="800"/>
      <c r="VFM73" s="800"/>
      <c r="VFN73" s="800"/>
      <c r="VFO73" s="800"/>
      <c r="VFP73" s="800"/>
      <c r="VFQ73" s="705"/>
      <c r="VFR73" s="799"/>
      <c r="VFS73" s="800"/>
      <c r="VFT73" s="800"/>
      <c r="VFU73" s="800"/>
      <c r="VFV73" s="800"/>
      <c r="VFW73" s="800"/>
      <c r="VFX73" s="705"/>
      <c r="VFY73" s="799"/>
      <c r="VFZ73" s="800"/>
      <c r="VGA73" s="800"/>
      <c r="VGB73" s="800"/>
      <c r="VGC73" s="800"/>
      <c r="VGD73" s="800"/>
      <c r="VGE73" s="705"/>
      <c r="VGF73" s="799"/>
      <c r="VGG73" s="800"/>
      <c r="VGH73" s="800"/>
      <c r="VGI73" s="800"/>
      <c r="VGJ73" s="800"/>
      <c r="VGK73" s="800"/>
      <c r="VGL73" s="705"/>
      <c r="VGM73" s="799"/>
      <c r="VGN73" s="800"/>
      <c r="VGO73" s="800"/>
      <c r="VGP73" s="800"/>
      <c r="VGQ73" s="800"/>
      <c r="VGR73" s="800"/>
      <c r="VGS73" s="705"/>
      <c r="VGT73" s="799"/>
      <c r="VGU73" s="800"/>
      <c r="VGV73" s="800"/>
      <c r="VGW73" s="800"/>
      <c r="VGX73" s="800"/>
      <c r="VGY73" s="800"/>
      <c r="VGZ73" s="705"/>
      <c r="VHA73" s="799"/>
      <c r="VHB73" s="800"/>
      <c r="VHC73" s="800"/>
      <c r="VHD73" s="800"/>
      <c r="VHE73" s="800"/>
      <c r="VHF73" s="800"/>
      <c r="VHG73" s="705"/>
      <c r="VHH73" s="799"/>
      <c r="VHI73" s="800"/>
      <c r="VHJ73" s="800"/>
      <c r="VHK73" s="800"/>
      <c r="VHL73" s="800"/>
      <c r="VHM73" s="800"/>
      <c r="VHN73" s="705"/>
      <c r="VHO73" s="799"/>
      <c r="VHP73" s="800"/>
      <c r="VHQ73" s="800"/>
      <c r="VHR73" s="800"/>
      <c r="VHS73" s="800"/>
      <c r="VHT73" s="800"/>
      <c r="VHU73" s="705"/>
      <c r="VHV73" s="799"/>
      <c r="VHW73" s="800"/>
      <c r="VHX73" s="800"/>
      <c r="VHY73" s="800"/>
      <c r="VHZ73" s="800"/>
      <c r="VIA73" s="800"/>
      <c r="VIB73" s="705"/>
      <c r="VIC73" s="799"/>
      <c r="VID73" s="800"/>
      <c r="VIE73" s="800"/>
      <c r="VIF73" s="800"/>
      <c r="VIG73" s="800"/>
      <c r="VIH73" s="800"/>
      <c r="VII73" s="705"/>
      <c r="VIJ73" s="799"/>
      <c r="VIK73" s="800"/>
      <c r="VIL73" s="800"/>
      <c r="VIM73" s="800"/>
      <c r="VIN73" s="800"/>
      <c r="VIO73" s="800"/>
      <c r="VIP73" s="705"/>
      <c r="VIQ73" s="799"/>
      <c r="VIR73" s="800"/>
      <c r="VIS73" s="800"/>
      <c r="VIT73" s="800"/>
      <c r="VIU73" s="800"/>
      <c r="VIV73" s="800"/>
      <c r="VIW73" s="705"/>
      <c r="VIX73" s="799"/>
      <c r="VIY73" s="800"/>
      <c r="VIZ73" s="800"/>
      <c r="VJA73" s="800"/>
      <c r="VJB73" s="800"/>
      <c r="VJC73" s="800"/>
      <c r="VJD73" s="705"/>
      <c r="VJE73" s="799"/>
      <c r="VJF73" s="800"/>
      <c r="VJG73" s="800"/>
      <c r="VJH73" s="800"/>
      <c r="VJI73" s="800"/>
      <c r="VJJ73" s="800"/>
      <c r="VJK73" s="705"/>
      <c r="VJL73" s="799"/>
      <c r="VJM73" s="800"/>
      <c r="VJN73" s="800"/>
      <c r="VJO73" s="800"/>
      <c r="VJP73" s="800"/>
      <c r="VJQ73" s="800"/>
      <c r="VJR73" s="705"/>
      <c r="VJS73" s="799"/>
      <c r="VJT73" s="800"/>
      <c r="VJU73" s="800"/>
      <c r="VJV73" s="800"/>
      <c r="VJW73" s="800"/>
      <c r="VJX73" s="800"/>
      <c r="VJY73" s="705"/>
      <c r="VJZ73" s="799"/>
      <c r="VKA73" s="800"/>
      <c r="VKB73" s="800"/>
      <c r="VKC73" s="800"/>
      <c r="VKD73" s="800"/>
      <c r="VKE73" s="800"/>
      <c r="VKF73" s="705"/>
      <c r="VKG73" s="799"/>
      <c r="VKH73" s="800"/>
      <c r="VKI73" s="800"/>
      <c r="VKJ73" s="800"/>
      <c r="VKK73" s="800"/>
      <c r="VKL73" s="800"/>
      <c r="VKM73" s="705"/>
      <c r="VKN73" s="799"/>
      <c r="VKO73" s="800"/>
      <c r="VKP73" s="800"/>
      <c r="VKQ73" s="800"/>
      <c r="VKR73" s="800"/>
      <c r="VKS73" s="800"/>
      <c r="VKT73" s="705"/>
      <c r="VKU73" s="799"/>
      <c r="VKV73" s="800"/>
      <c r="VKW73" s="800"/>
      <c r="VKX73" s="800"/>
      <c r="VKY73" s="800"/>
      <c r="VKZ73" s="800"/>
      <c r="VLA73" s="705"/>
      <c r="VLB73" s="799"/>
      <c r="VLC73" s="800"/>
      <c r="VLD73" s="800"/>
      <c r="VLE73" s="800"/>
      <c r="VLF73" s="800"/>
      <c r="VLG73" s="800"/>
      <c r="VLH73" s="705"/>
      <c r="VLI73" s="799"/>
      <c r="VLJ73" s="800"/>
      <c r="VLK73" s="800"/>
      <c r="VLL73" s="800"/>
      <c r="VLM73" s="800"/>
      <c r="VLN73" s="800"/>
      <c r="VLO73" s="705"/>
      <c r="VLP73" s="799"/>
      <c r="VLQ73" s="800"/>
      <c r="VLR73" s="800"/>
      <c r="VLS73" s="800"/>
      <c r="VLT73" s="800"/>
      <c r="VLU73" s="800"/>
      <c r="VLV73" s="705"/>
      <c r="VLW73" s="799"/>
      <c r="VLX73" s="800"/>
      <c r="VLY73" s="800"/>
      <c r="VLZ73" s="800"/>
      <c r="VMA73" s="800"/>
      <c r="VMB73" s="800"/>
      <c r="VMC73" s="705"/>
      <c r="VMD73" s="799"/>
      <c r="VME73" s="800"/>
      <c r="VMF73" s="800"/>
      <c r="VMG73" s="800"/>
      <c r="VMH73" s="800"/>
      <c r="VMI73" s="800"/>
      <c r="VMJ73" s="705"/>
      <c r="VMK73" s="799"/>
      <c r="VML73" s="800"/>
      <c r="VMM73" s="800"/>
      <c r="VMN73" s="800"/>
      <c r="VMO73" s="800"/>
      <c r="VMP73" s="800"/>
      <c r="VMQ73" s="705"/>
      <c r="VMR73" s="799"/>
      <c r="VMS73" s="800"/>
      <c r="VMT73" s="800"/>
      <c r="VMU73" s="800"/>
      <c r="VMV73" s="800"/>
      <c r="VMW73" s="800"/>
      <c r="VMX73" s="705"/>
      <c r="VMY73" s="799"/>
      <c r="VMZ73" s="800"/>
      <c r="VNA73" s="800"/>
      <c r="VNB73" s="800"/>
      <c r="VNC73" s="800"/>
      <c r="VND73" s="800"/>
      <c r="VNE73" s="705"/>
      <c r="VNF73" s="799"/>
      <c r="VNG73" s="800"/>
      <c r="VNH73" s="800"/>
      <c r="VNI73" s="800"/>
      <c r="VNJ73" s="800"/>
      <c r="VNK73" s="800"/>
      <c r="VNL73" s="705"/>
      <c r="VNM73" s="799"/>
      <c r="VNN73" s="800"/>
      <c r="VNO73" s="800"/>
      <c r="VNP73" s="800"/>
      <c r="VNQ73" s="800"/>
      <c r="VNR73" s="800"/>
      <c r="VNS73" s="705"/>
      <c r="VNT73" s="799"/>
      <c r="VNU73" s="800"/>
      <c r="VNV73" s="800"/>
      <c r="VNW73" s="800"/>
      <c r="VNX73" s="800"/>
      <c r="VNY73" s="800"/>
      <c r="VNZ73" s="705"/>
      <c r="VOA73" s="799"/>
      <c r="VOB73" s="800"/>
      <c r="VOC73" s="800"/>
      <c r="VOD73" s="800"/>
      <c r="VOE73" s="800"/>
      <c r="VOF73" s="800"/>
      <c r="VOG73" s="705"/>
      <c r="VOH73" s="799"/>
      <c r="VOI73" s="800"/>
      <c r="VOJ73" s="800"/>
      <c r="VOK73" s="800"/>
      <c r="VOL73" s="800"/>
      <c r="VOM73" s="800"/>
      <c r="VON73" s="705"/>
      <c r="VOO73" s="799"/>
      <c r="VOP73" s="800"/>
      <c r="VOQ73" s="800"/>
      <c r="VOR73" s="800"/>
      <c r="VOS73" s="800"/>
      <c r="VOT73" s="800"/>
      <c r="VOU73" s="705"/>
      <c r="VOV73" s="799"/>
      <c r="VOW73" s="800"/>
      <c r="VOX73" s="800"/>
      <c r="VOY73" s="800"/>
      <c r="VOZ73" s="800"/>
      <c r="VPA73" s="800"/>
      <c r="VPB73" s="705"/>
      <c r="VPC73" s="799"/>
      <c r="VPD73" s="800"/>
      <c r="VPE73" s="800"/>
      <c r="VPF73" s="800"/>
      <c r="VPG73" s="800"/>
      <c r="VPH73" s="800"/>
      <c r="VPI73" s="705"/>
      <c r="VPJ73" s="799"/>
      <c r="VPK73" s="800"/>
      <c r="VPL73" s="800"/>
      <c r="VPM73" s="800"/>
      <c r="VPN73" s="800"/>
      <c r="VPO73" s="800"/>
      <c r="VPP73" s="705"/>
      <c r="VPQ73" s="799"/>
      <c r="VPR73" s="800"/>
      <c r="VPS73" s="800"/>
      <c r="VPT73" s="800"/>
      <c r="VPU73" s="800"/>
      <c r="VPV73" s="800"/>
      <c r="VPW73" s="705"/>
      <c r="VPX73" s="799"/>
      <c r="VPY73" s="800"/>
      <c r="VPZ73" s="800"/>
      <c r="VQA73" s="800"/>
      <c r="VQB73" s="800"/>
      <c r="VQC73" s="800"/>
      <c r="VQD73" s="705"/>
      <c r="VQE73" s="799"/>
      <c r="VQF73" s="800"/>
      <c r="VQG73" s="800"/>
      <c r="VQH73" s="800"/>
      <c r="VQI73" s="800"/>
      <c r="VQJ73" s="800"/>
      <c r="VQK73" s="705"/>
      <c r="VQL73" s="799"/>
      <c r="VQM73" s="800"/>
      <c r="VQN73" s="800"/>
      <c r="VQO73" s="800"/>
      <c r="VQP73" s="800"/>
      <c r="VQQ73" s="800"/>
      <c r="VQR73" s="705"/>
      <c r="VQS73" s="799"/>
      <c r="VQT73" s="800"/>
      <c r="VQU73" s="800"/>
      <c r="VQV73" s="800"/>
      <c r="VQW73" s="800"/>
      <c r="VQX73" s="800"/>
      <c r="VQY73" s="705"/>
      <c r="VQZ73" s="799"/>
      <c r="VRA73" s="800"/>
      <c r="VRB73" s="800"/>
      <c r="VRC73" s="800"/>
      <c r="VRD73" s="800"/>
      <c r="VRE73" s="800"/>
      <c r="VRF73" s="705"/>
      <c r="VRG73" s="799"/>
      <c r="VRH73" s="800"/>
      <c r="VRI73" s="800"/>
      <c r="VRJ73" s="800"/>
      <c r="VRK73" s="800"/>
      <c r="VRL73" s="800"/>
      <c r="VRM73" s="705"/>
      <c r="VRN73" s="799"/>
      <c r="VRO73" s="800"/>
      <c r="VRP73" s="800"/>
      <c r="VRQ73" s="800"/>
      <c r="VRR73" s="800"/>
      <c r="VRS73" s="800"/>
      <c r="VRT73" s="705"/>
      <c r="VRU73" s="799"/>
      <c r="VRV73" s="800"/>
      <c r="VRW73" s="800"/>
      <c r="VRX73" s="800"/>
      <c r="VRY73" s="800"/>
      <c r="VRZ73" s="800"/>
      <c r="VSA73" s="705"/>
      <c r="VSB73" s="799"/>
      <c r="VSC73" s="800"/>
      <c r="VSD73" s="800"/>
      <c r="VSE73" s="800"/>
      <c r="VSF73" s="800"/>
      <c r="VSG73" s="800"/>
      <c r="VSH73" s="705"/>
      <c r="VSI73" s="799"/>
      <c r="VSJ73" s="800"/>
      <c r="VSK73" s="800"/>
      <c r="VSL73" s="800"/>
      <c r="VSM73" s="800"/>
      <c r="VSN73" s="800"/>
      <c r="VSO73" s="705"/>
      <c r="VSP73" s="799"/>
      <c r="VSQ73" s="800"/>
      <c r="VSR73" s="800"/>
      <c r="VSS73" s="800"/>
      <c r="VST73" s="800"/>
      <c r="VSU73" s="800"/>
      <c r="VSV73" s="705"/>
      <c r="VSW73" s="799"/>
      <c r="VSX73" s="800"/>
      <c r="VSY73" s="800"/>
      <c r="VSZ73" s="800"/>
      <c r="VTA73" s="800"/>
      <c r="VTB73" s="800"/>
      <c r="VTC73" s="705"/>
      <c r="VTD73" s="799"/>
      <c r="VTE73" s="800"/>
      <c r="VTF73" s="800"/>
      <c r="VTG73" s="800"/>
      <c r="VTH73" s="800"/>
      <c r="VTI73" s="800"/>
      <c r="VTJ73" s="705"/>
      <c r="VTK73" s="799"/>
      <c r="VTL73" s="800"/>
      <c r="VTM73" s="800"/>
      <c r="VTN73" s="800"/>
      <c r="VTO73" s="800"/>
      <c r="VTP73" s="800"/>
      <c r="VTQ73" s="705"/>
      <c r="VTR73" s="799"/>
      <c r="VTS73" s="800"/>
      <c r="VTT73" s="800"/>
      <c r="VTU73" s="800"/>
      <c r="VTV73" s="800"/>
      <c r="VTW73" s="800"/>
      <c r="VTX73" s="705"/>
      <c r="VTY73" s="799"/>
      <c r="VTZ73" s="800"/>
      <c r="VUA73" s="800"/>
      <c r="VUB73" s="800"/>
      <c r="VUC73" s="800"/>
      <c r="VUD73" s="800"/>
      <c r="VUE73" s="705"/>
      <c r="VUF73" s="799"/>
      <c r="VUG73" s="800"/>
      <c r="VUH73" s="800"/>
      <c r="VUI73" s="800"/>
      <c r="VUJ73" s="800"/>
      <c r="VUK73" s="800"/>
      <c r="VUL73" s="705"/>
      <c r="VUM73" s="799"/>
      <c r="VUN73" s="800"/>
      <c r="VUO73" s="800"/>
      <c r="VUP73" s="800"/>
      <c r="VUQ73" s="800"/>
      <c r="VUR73" s="800"/>
      <c r="VUS73" s="705"/>
      <c r="VUT73" s="799"/>
      <c r="VUU73" s="800"/>
      <c r="VUV73" s="800"/>
      <c r="VUW73" s="800"/>
      <c r="VUX73" s="800"/>
      <c r="VUY73" s="800"/>
      <c r="VUZ73" s="705"/>
      <c r="VVA73" s="799"/>
      <c r="VVB73" s="800"/>
      <c r="VVC73" s="800"/>
      <c r="VVD73" s="800"/>
      <c r="VVE73" s="800"/>
      <c r="VVF73" s="800"/>
      <c r="VVG73" s="705"/>
      <c r="VVH73" s="799"/>
      <c r="VVI73" s="800"/>
      <c r="VVJ73" s="800"/>
      <c r="VVK73" s="800"/>
      <c r="VVL73" s="800"/>
      <c r="VVM73" s="800"/>
      <c r="VVN73" s="705"/>
      <c r="VVO73" s="799"/>
      <c r="VVP73" s="800"/>
      <c r="VVQ73" s="800"/>
      <c r="VVR73" s="800"/>
      <c r="VVS73" s="800"/>
      <c r="VVT73" s="800"/>
      <c r="VVU73" s="705"/>
      <c r="VVV73" s="799"/>
      <c r="VVW73" s="800"/>
      <c r="VVX73" s="800"/>
      <c r="VVY73" s="800"/>
      <c r="VVZ73" s="800"/>
      <c r="VWA73" s="800"/>
      <c r="VWB73" s="705"/>
      <c r="VWC73" s="799"/>
      <c r="VWD73" s="800"/>
      <c r="VWE73" s="800"/>
      <c r="VWF73" s="800"/>
      <c r="VWG73" s="800"/>
      <c r="VWH73" s="800"/>
      <c r="VWI73" s="705"/>
      <c r="VWJ73" s="799"/>
      <c r="VWK73" s="800"/>
      <c r="VWL73" s="800"/>
      <c r="VWM73" s="800"/>
      <c r="VWN73" s="800"/>
      <c r="VWO73" s="800"/>
      <c r="VWP73" s="705"/>
      <c r="VWQ73" s="799"/>
      <c r="VWR73" s="800"/>
      <c r="VWS73" s="800"/>
      <c r="VWT73" s="800"/>
      <c r="VWU73" s="800"/>
      <c r="VWV73" s="800"/>
      <c r="VWW73" s="705"/>
      <c r="VWX73" s="799"/>
      <c r="VWY73" s="800"/>
      <c r="VWZ73" s="800"/>
      <c r="VXA73" s="800"/>
      <c r="VXB73" s="800"/>
      <c r="VXC73" s="800"/>
      <c r="VXD73" s="705"/>
      <c r="VXE73" s="799"/>
      <c r="VXF73" s="800"/>
      <c r="VXG73" s="800"/>
      <c r="VXH73" s="800"/>
      <c r="VXI73" s="800"/>
      <c r="VXJ73" s="800"/>
      <c r="VXK73" s="705"/>
      <c r="VXL73" s="799"/>
      <c r="VXM73" s="800"/>
      <c r="VXN73" s="800"/>
      <c r="VXO73" s="800"/>
      <c r="VXP73" s="800"/>
      <c r="VXQ73" s="800"/>
      <c r="VXR73" s="705"/>
      <c r="VXS73" s="799"/>
      <c r="VXT73" s="800"/>
      <c r="VXU73" s="800"/>
      <c r="VXV73" s="800"/>
      <c r="VXW73" s="800"/>
      <c r="VXX73" s="800"/>
      <c r="VXY73" s="705"/>
      <c r="VXZ73" s="799"/>
      <c r="VYA73" s="800"/>
      <c r="VYB73" s="800"/>
      <c r="VYC73" s="800"/>
      <c r="VYD73" s="800"/>
      <c r="VYE73" s="800"/>
      <c r="VYF73" s="705"/>
      <c r="VYG73" s="799"/>
      <c r="VYH73" s="800"/>
      <c r="VYI73" s="800"/>
      <c r="VYJ73" s="800"/>
      <c r="VYK73" s="800"/>
      <c r="VYL73" s="800"/>
      <c r="VYM73" s="705"/>
      <c r="VYN73" s="799"/>
      <c r="VYO73" s="800"/>
      <c r="VYP73" s="800"/>
      <c r="VYQ73" s="800"/>
      <c r="VYR73" s="800"/>
      <c r="VYS73" s="800"/>
      <c r="VYT73" s="705"/>
      <c r="VYU73" s="799"/>
      <c r="VYV73" s="800"/>
      <c r="VYW73" s="800"/>
      <c r="VYX73" s="800"/>
      <c r="VYY73" s="800"/>
      <c r="VYZ73" s="800"/>
      <c r="VZA73" s="705"/>
      <c r="VZB73" s="799"/>
      <c r="VZC73" s="800"/>
      <c r="VZD73" s="800"/>
      <c r="VZE73" s="800"/>
      <c r="VZF73" s="800"/>
      <c r="VZG73" s="800"/>
      <c r="VZH73" s="705"/>
      <c r="VZI73" s="799"/>
      <c r="VZJ73" s="800"/>
      <c r="VZK73" s="800"/>
      <c r="VZL73" s="800"/>
      <c r="VZM73" s="800"/>
      <c r="VZN73" s="800"/>
      <c r="VZO73" s="705"/>
      <c r="VZP73" s="799"/>
      <c r="VZQ73" s="800"/>
      <c r="VZR73" s="800"/>
      <c r="VZS73" s="800"/>
      <c r="VZT73" s="800"/>
      <c r="VZU73" s="800"/>
      <c r="VZV73" s="705"/>
      <c r="VZW73" s="799"/>
      <c r="VZX73" s="800"/>
      <c r="VZY73" s="800"/>
      <c r="VZZ73" s="800"/>
      <c r="WAA73" s="800"/>
      <c r="WAB73" s="800"/>
      <c r="WAC73" s="705"/>
      <c r="WAD73" s="799"/>
      <c r="WAE73" s="800"/>
      <c r="WAF73" s="800"/>
      <c r="WAG73" s="800"/>
      <c r="WAH73" s="800"/>
      <c r="WAI73" s="800"/>
      <c r="WAJ73" s="705"/>
      <c r="WAK73" s="799"/>
      <c r="WAL73" s="800"/>
      <c r="WAM73" s="800"/>
      <c r="WAN73" s="800"/>
      <c r="WAO73" s="800"/>
      <c r="WAP73" s="800"/>
      <c r="WAQ73" s="705"/>
      <c r="WAR73" s="799"/>
      <c r="WAS73" s="800"/>
      <c r="WAT73" s="800"/>
      <c r="WAU73" s="800"/>
      <c r="WAV73" s="800"/>
      <c r="WAW73" s="800"/>
      <c r="WAX73" s="705"/>
      <c r="WAY73" s="799"/>
      <c r="WAZ73" s="800"/>
      <c r="WBA73" s="800"/>
      <c r="WBB73" s="800"/>
      <c r="WBC73" s="800"/>
      <c r="WBD73" s="800"/>
      <c r="WBE73" s="705"/>
      <c r="WBF73" s="799"/>
      <c r="WBG73" s="800"/>
      <c r="WBH73" s="800"/>
      <c r="WBI73" s="800"/>
      <c r="WBJ73" s="800"/>
      <c r="WBK73" s="800"/>
      <c r="WBL73" s="705"/>
      <c r="WBM73" s="799"/>
      <c r="WBN73" s="800"/>
      <c r="WBO73" s="800"/>
      <c r="WBP73" s="800"/>
      <c r="WBQ73" s="800"/>
      <c r="WBR73" s="800"/>
      <c r="WBS73" s="705"/>
      <c r="WBT73" s="799"/>
      <c r="WBU73" s="800"/>
      <c r="WBV73" s="800"/>
      <c r="WBW73" s="800"/>
      <c r="WBX73" s="800"/>
      <c r="WBY73" s="800"/>
      <c r="WBZ73" s="705"/>
      <c r="WCA73" s="799"/>
      <c r="WCB73" s="800"/>
      <c r="WCC73" s="800"/>
      <c r="WCD73" s="800"/>
      <c r="WCE73" s="800"/>
      <c r="WCF73" s="800"/>
      <c r="WCG73" s="705"/>
      <c r="WCH73" s="799"/>
      <c r="WCI73" s="800"/>
      <c r="WCJ73" s="800"/>
      <c r="WCK73" s="800"/>
      <c r="WCL73" s="800"/>
      <c r="WCM73" s="800"/>
      <c r="WCN73" s="705"/>
      <c r="WCO73" s="799"/>
      <c r="WCP73" s="800"/>
      <c r="WCQ73" s="800"/>
      <c r="WCR73" s="800"/>
      <c r="WCS73" s="800"/>
      <c r="WCT73" s="800"/>
      <c r="WCU73" s="705"/>
      <c r="WCV73" s="799"/>
      <c r="WCW73" s="800"/>
      <c r="WCX73" s="800"/>
      <c r="WCY73" s="800"/>
      <c r="WCZ73" s="800"/>
      <c r="WDA73" s="800"/>
      <c r="WDB73" s="705"/>
      <c r="WDC73" s="799"/>
      <c r="WDD73" s="800"/>
      <c r="WDE73" s="800"/>
      <c r="WDF73" s="800"/>
      <c r="WDG73" s="800"/>
      <c r="WDH73" s="800"/>
      <c r="WDI73" s="705"/>
      <c r="WDJ73" s="799"/>
      <c r="WDK73" s="800"/>
      <c r="WDL73" s="800"/>
      <c r="WDM73" s="800"/>
      <c r="WDN73" s="800"/>
      <c r="WDO73" s="800"/>
      <c r="WDP73" s="705"/>
      <c r="WDQ73" s="799"/>
      <c r="WDR73" s="800"/>
      <c r="WDS73" s="800"/>
      <c r="WDT73" s="800"/>
      <c r="WDU73" s="800"/>
      <c r="WDV73" s="800"/>
      <c r="WDW73" s="705"/>
      <c r="WDX73" s="799"/>
      <c r="WDY73" s="800"/>
      <c r="WDZ73" s="800"/>
      <c r="WEA73" s="800"/>
      <c r="WEB73" s="800"/>
      <c r="WEC73" s="800"/>
      <c r="WED73" s="705"/>
      <c r="WEE73" s="799"/>
      <c r="WEF73" s="800"/>
      <c r="WEG73" s="800"/>
      <c r="WEH73" s="800"/>
      <c r="WEI73" s="800"/>
      <c r="WEJ73" s="800"/>
      <c r="WEK73" s="705"/>
      <c r="WEL73" s="799"/>
      <c r="WEM73" s="800"/>
      <c r="WEN73" s="800"/>
      <c r="WEO73" s="800"/>
      <c r="WEP73" s="800"/>
      <c r="WEQ73" s="800"/>
      <c r="WER73" s="705"/>
      <c r="WES73" s="799"/>
      <c r="WET73" s="800"/>
      <c r="WEU73" s="800"/>
      <c r="WEV73" s="800"/>
      <c r="WEW73" s="800"/>
      <c r="WEX73" s="800"/>
      <c r="WEY73" s="705"/>
      <c r="WEZ73" s="799"/>
      <c r="WFA73" s="800"/>
      <c r="WFB73" s="800"/>
      <c r="WFC73" s="800"/>
      <c r="WFD73" s="800"/>
      <c r="WFE73" s="800"/>
      <c r="WFF73" s="705"/>
      <c r="WFG73" s="799"/>
      <c r="WFH73" s="800"/>
      <c r="WFI73" s="800"/>
      <c r="WFJ73" s="800"/>
      <c r="WFK73" s="800"/>
      <c r="WFL73" s="800"/>
      <c r="WFM73" s="705"/>
      <c r="WFN73" s="799"/>
      <c r="WFO73" s="800"/>
      <c r="WFP73" s="800"/>
      <c r="WFQ73" s="800"/>
      <c r="WFR73" s="800"/>
      <c r="WFS73" s="800"/>
      <c r="WFT73" s="705"/>
      <c r="WFU73" s="799"/>
      <c r="WFV73" s="800"/>
      <c r="WFW73" s="800"/>
      <c r="WFX73" s="800"/>
      <c r="WFY73" s="800"/>
      <c r="WFZ73" s="800"/>
      <c r="WGA73" s="705"/>
      <c r="WGB73" s="799"/>
      <c r="WGC73" s="800"/>
      <c r="WGD73" s="800"/>
      <c r="WGE73" s="800"/>
      <c r="WGF73" s="800"/>
      <c r="WGG73" s="800"/>
      <c r="WGH73" s="705"/>
      <c r="WGI73" s="799"/>
      <c r="WGJ73" s="800"/>
      <c r="WGK73" s="800"/>
      <c r="WGL73" s="800"/>
      <c r="WGM73" s="800"/>
      <c r="WGN73" s="800"/>
      <c r="WGO73" s="705"/>
      <c r="WGP73" s="799"/>
      <c r="WGQ73" s="800"/>
      <c r="WGR73" s="800"/>
      <c r="WGS73" s="800"/>
      <c r="WGT73" s="800"/>
      <c r="WGU73" s="800"/>
      <c r="WGV73" s="705"/>
      <c r="WGW73" s="799"/>
      <c r="WGX73" s="800"/>
      <c r="WGY73" s="800"/>
      <c r="WGZ73" s="800"/>
      <c r="WHA73" s="800"/>
      <c r="WHB73" s="800"/>
      <c r="WHC73" s="705"/>
      <c r="WHD73" s="799"/>
      <c r="WHE73" s="800"/>
      <c r="WHF73" s="800"/>
      <c r="WHG73" s="800"/>
      <c r="WHH73" s="800"/>
      <c r="WHI73" s="800"/>
      <c r="WHJ73" s="705"/>
      <c r="WHK73" s="799"/>
      <c r="WHL73" s="800"/>
      <c r="WHM73" s="800"/>
      <c r="WHN73" s="800"/>
      <c r="WHO73" s="800"/>
      <c r="WHP73" s="800"/>
      <c r="WHQ73" s="705"/>
      <c r="WHR73" s="799"/>
      <c r="WHS73" s="800"/>
      <c r="WHT73" s="800"/>
      <c r="WHU73" s="800"/>
      <c r="WHV73" s="800"/>
      <c r="WHW73" s="800"/>
      <c r="WHX73" s="705"/>
      <c r="WHY73" s="799"/>
      <c r="WHZ73" s="800"/>
      <c r="WIA73" s="800"/>
      <c r="WIB73" s="800"/>
      <c r="WIC73" s="800"/>
      <c r="WID73" s="800"/>
      <c r="WIE73" s="705"/>
      <c r="WIF73" s="799"/>
      <c r="WIG73" s="800"/>
      <c r="WIH73" s="800"/>
      <c r="WII73" s="800"/>
      <c r="WIJ73" s="800"/>
      <c r="WIK73" s="800"/>
      <c r="WIL73" s="705"/>
      <c r="WIM73" s="799"/>
      <c r="WIN73" s="800"/>
      <c r="WIO73" s="800"/>
      <c r="WIP73" s="800"/>
      <c r="WIQ73" s="800"/>
      <c r="WIR73" s="800"/>
      <c r="WIS73" s="705"/>
      <c r="WIT73" s="799"/>
      <c r="WIU73" s="800"/>
      <c r="WIV73" s="800"/>
      <c r="WIW73" s="800"/>
      <c r="WIX73" s="800"/>
      <c r="WIY73" s="800"/>
      <c r="WIZ73" s="705"/>
      <c r="WJA73" s="799"/>
      <c r="WJB73" s="800"/>
      <c r="WJC73" s="800"/>
      <c r="WJD73" s="800"/>
      <c r="WJE73" s="800"/>
      <c r="WJF73" s="800"/>
      <c r="WJG73" s="705"/>
      <c r="WJH73" s="799"/>
      <c r="WJI73" s="800"/>
      <c r="WJJ73" s="800"/>
      <c r="WJK73" s="800"/>
      <c r="WJL73" s="800"/>
      <c r="WJM73" s="800"/>
      <c r="WJN73" s="705"/>
      <c r="WJO73" s="799"/>
      <c r="WJP73" s="800"/>
      <c r="WJQ73" s="800"/>
      <c r="WJR73" s="800"/>
      <c r="WJS73" s="800"/>
      <c r="WJT73" s="800"/>
      <c r="WJU73" s="705"/>
      <c r="WJV73" s="799"/>
      <c r="WJW73" s="800"/>
      <c r="WJX73" s="800"/>
      <c r="WJY73" s="800"/>
      <c r="WJZ73" s="800"/>
      <c r="WKA73" s="800"/>
      <c r="WKB73" s="705"/>
      <c r="WKC73" s="799"/>
      <c r="WKD73" s="800"/>
      <c r="WKE73" s="800"/>
      <c r="WKF73" s="800"/>
      <c r="WKG73" s="800"/>
      <c r="WKH73" s="800"/>
      <c r="WKI73" s="705"/>
      <c r="WKJ73" s="799"/>
      <c r="WKK73" s="800"/>
      <c r="WKL73" s="800"/>
      <c r="WKM73" s="800"/>
      <c r="WKN73" s="800"/>
      <c r="WKO73" s="800"/>
      <c r="WKP73" s="705"/>
      <c r="WKQ73" s="799"/>
      <c r="WKR73" s="800"/>
      <c r="WKS73" s="800"/>
      <c r="WKT73" s="800"/>
      <c r="WKU73" s="800"/>
      <c r="WKV73" s="800"/>
      <c r="WKW73" s="705"/>
      <c r="WKX73" s="799"/>
      <c r="WKY73" s="800"/>
      <c r="WKZ73" s="800"/>
      <c r="WLA73" s="800"/>
      <c r="WLB73" s="800"/>
      <c r="WLC73" s="800"/>
      <c r="WLD73" s="705"/>
      <c r="WLE73" s="799"/>
      <c r="WLF73" s="800"/>
      <c r="WLG73" s="800"/>
      <c r="WLH73" s="800"/>
      <c r="WLI73" s="800"/>
      <c r="WLJ73" s="800"/>
      <c r="WLK73" s="705"/>
      <c r="WLL73" s="799"/>
      <c r="WLM73" s="800"/>
      <c r="WLN73" s="800"/>
      <c r="WLO73" s="800"/>
      <c r="WLP73" s="800"/>
      <c r="WLQ73" s="800"/>
      <c r="WLR73" s="705"/>
      <c r="WLS73" s="799"/>
      <c r="WLT73" s="800"/>
      <c r="WLU73" s="800"/>
      <c r="WLV73" s="800"/>
      <c r="WLW73" s="800"/>
      <c r="WLX73" s="800"/>
      <c r="WLY73" s="705"/>
      <c r="WLZ73" s="799"/>
      <c r="WMA73" s="800"/>
      <c r="WMB73" s="800"/>
      <c r="WMC73" s="800"/>
      <c r="WMD73" s="800"/>
      <c r="WME73" s="800"/>
      <c r="WMF73" s="705"/>
      <c r="WMG73" s="799"/>
      <c r="WMH73" s="800"/>
      <c r="WMI73" s="800"/>
      <c r="WMJ73" s="800"/>
      <c r="WMK73" s="800"/>
      <c r="WML73" s="800"/>
      <c r="WMM73" s="705"/>
      <c r="WMN73" s="799"/>
      <c r="WMO73" s="800"/>
      <c r="WMP73" s="800"/>
      <c r="WMQ73" s="800"/>
      <c r="WMR73" s="800"/>
      <c r="WMS73" s="800"/>
      <c r="WMT73" s="705"/>
      <c r="WMU73" s="799"/>
      <c r="WMV73" s="800"/>
      <c r="WMW73" s="800"/>
      <c r="WMX73" s="800"/>
      <c r="WMY73" s="800"/>
      <c r="WMZ73" s="800"/>
      <c r="WNA73" s="705"/>
      <c r="WNB73" s="799"/>
      <c r="WNC73" s="800"/>
      <c r="WND73" s="800"/>
      <c r="WNE73" s="800"/>
      <c r="WNF73" s="800"/>
      <c r="WNG73" s="800"/>
      <c r="WNH73" s="705"/>
      <c r="WNI73" s="799"/>
      <c r="WNJ73" s="800"/>
      <c r="WNK73" s="800"/>
      <c r="WNL73" s="800"/>
      <c r="WNM73" s="800"/>
      <c r="WNN73" s="800"/>
      <c r="WNO73" s="705"/>
      <c r="WNP73" s="799"/>
      <c r="WNQ73" s="800"/>
      <c r="WNR73" s="800"/>
      <c r="WNS73" s="800"/>
      <c r="WNT73" s="800"/>
      <c r="WNU73" s="800"/>
      <c r="WNV73" s="705"/>
      <c r="WNW73" s="799"/>
      <c r="WNX73" s="800"/>
      <c r="WNY73" s="800"/>
      <c r="WNZ73" s="800"/>
      <c r="WOA73" s="800"/>
      <c r="WOB73" s="800"/>
      <c r="WOC73" s="705"/>
      <c r="WOD73" s="799"/>
      <c r="WOE73" s="800"/>
      <c r="WOF73" s="800"/>
      <c r="WOG73" s="800"/>
      <c r="WOH73" s="800"/>
      <c r="WOI73" s="800"/>
      <c r="WOJ73" s="705"/>
      <c r="WOK73" s="799"/>
      <c r="WOL73" s="800"/>
      <c r="WOM73" s="800"/>
      <c r="WON73" s="800"/>
      <c r="WOO73" s="800"/>
      <c r="WOP73" s="800"/>
      <c r="WOQ73" s="705"/>
      <c r="WOR73" s="799"/>
      <c r="WOS73" s="800"/>
      <c r="WOT73" s="800"/>
      <c r="WOU73" s="800"/>
      <c r="WOV73" s="800"/>
      <c r="WOW73" s="800"/>
      <c r="WOX73" s="705"/>
      <c r="WOY73" s="799"/>
      <c r="WOZ73" s="800"/>
      <c r="WPA73" s="800"/>
      <c r="WPB73" s="800"/>
      <c r="WPC73" s="800"/>
      <c r="WPD73" s="800"/>
      <c r="WPE73" s="705"/>
      <c r="WPF73" s="799"/>
      <c r="WPG73" s="800"/>
      <c r="WPH73" s="800"/>
      <c r="WPI73" s="800"/>
      <c r="WPJ73" s="800"/>
      <c r="WPK73" s="800"/>
      <c r="WPL73" s="705"/>
      <c r="WPM73" s="799"/>
      <c r="WPN73" s="800"/>
      <c r="WPO73" s="800"/>
      <c r="WPP73" s="800"/>
      <c r="WPQ73" s="800"/>
      <c r="WPR73" s="800"/>
      <c r="WPS73" s="705"/>
      <c r="WPT73" s="799"/>
      <c r="WPU73" s="800"/>
      <c r="WPV73" s="800"/>
      <c r="WPW73" s="800"/>
      <c r="WPX73" s="800"/>
      <c r="WPY73" s="800"/>
      <c r="WPZ73" s="705"/>
      <c r="WQA73" s="799"/>
      <c r="WQB73" s="800"/>
      <c r="WQC73" s="800"/>
      <c r="WQD73" s="800"/>
      <c r="WQE73" s="800"/>
      <c r="WQF73" s="800"/>
      <c r="WQG73" s="705"/>
      <c r="WQH73" s="799"/>
      <c r="WQI73" s="800"/>
      <c r="WQJ73" s="800"/>
      <c r="WQK73" s="800"/>
      <c r="WQL73" s="800"/>
      <c r="WQM73" s="800"/>
      <c r="WQN73" s="705"/>
      <c r="WQO73" s="799"/>
      <c r="WQP73" s="800"/>
      <c r="WQQ73" s="800"/>
      <c r="WQR73" s="800"/>
      <c r="WQS73" s="800"/>
      <c r="WQT73" s="800"/>
      <c r="WQU73" s="705"/>
      <c r="WQV73" s="799"/>
      <c r="WQW73" s="800"/>
      <c r="WQX73" s="800"/>
      <c r="WQY73" s="800"/>
      <c r="WQZ73" s="800"/>
      <c r="WRA73" s="800"/>
      <c r="WRB73" s="705"/>
      <c r="WRC73" s="799"/>
      <c r="WRD73" s="800"/>
      <c r="WRE73" s="800"/>
      <c r="WRF73" s="800"/>
      <c r="WRG73" s="800"/>
      <c r="WRH73" s="800"/>
      <c r="WRI73" s="705"/>
      <c r="WRJ73" s="799"/>
      <c r="WRK73" s="800"/>
      <c r="WRL73" s="800"/>
      <c r="WRM73" s="800"/>
      <c r="WRN73" s="800"/>
      <c r="WRO73" s="800"/>
      <c r="WRP73" s="705"/>
      <c r="WRQ73" s="799"/>
      <c r="WRR73" s="800"/>
      <c r="WRS73" s="800"/>
      <c r="WRT73" s="800"/>
      <c r="WRU73" s="800"/>
      <c r="WRV73" s="800"/>
      <c r="WRW73" s="705"/>
      <c r="WRX73" s="799"/>
      <c r="WRY73" s="800"/>
      <c r="WRZ73" s="800"/>
      <c r="WSA73" s="800"/>
      <c r="WSB73" s="800"/>
      <c r="WSC73" s="800"/>
      <c r="WSD73" s="705"/>
      <c r="WSE73" s="799"/>
      <c r="WSF73" s="800"/>
      <c r="WSG73" s="800"/>
      <c r="WSH73" s="800"/>
      <c r="WSI73" s="800"/>
      <c r="WSJ73" s="800"/>
      <c r="WSK73" s="705"/>
      <c r="WSL73" s="799"/>
      <c r="WSM73" s="800"/>
      <c r="WSN73" s="800"/>
      <c r="WSO73" s="800"/>
      <c r="WSP73" s="800"/>
      <c r="WSQ73" s="800"/>
      <c r="WSR73" s="705"/>
      <c r="WSS73" s="799"/>
      <c r="WST73" s="800"/>
      <c r="WSU73" s="800"/>
      <c r="WSV73" s="800"/>
      <c r="WSW73" s="800"/>
      <c r="WSX73" s="800"/>
      <c r="WSY73" s="705"/>
      <c r="WSZ73" s="799"/>
      <c r="WTA73" s="800"/>
      <c r="WTB73" s="800"/>
      <c r="WTC73" s="800"/>
      <c r="WTD73" s="800"/>
      <c r="WTE73" s="800"/>
      <c r="WTF73" s="705"/>
      <c r="WTG73" s="799"/>
      <c r="WTH73" s="800"/>
      <c r="WTI73" s="800"/>
      <c r="WTJ73" s="800"/>
      <c r="WTK73" s="800"/>
      <c r="WTL73" s="800"/>
      <c r="WTM73" s="705"/>
      <c r="WTN73" s="799"/>
      <c r="WTO73" s="800"/>
      <c r="WTP73" s="800"/>
      <c r="WTQ73" s="800"/>
      <c r="WTR73" s="800"/>
      <c r="WTS73" s="800"/>
      <c r="WTT73" s="705"/>
      <c r="WTU73" s="799"/>
      <c r="WTV73" s="800"/>
      <c r="WTW73" s="800"/>
      <c r="WTX73" s="800"/>
      <c r="WTY73" s="800"/>
      <c r="WTZ73" s="800"/>
      <c r="WUA73" s="705"/>
      <c r="WUB73" s="799"/>
      <c r="WUC73" s="800"/>
      <c r="WUD73" s="800"/>
      <c r="WUE73" s="800"/>
      <c r="WUF73" s="800"/>
      <c r="WUG73" s="800"/>
      <c r="WUH73" s="705"/>
      <c r="WUI73" s="799"/>
      <c r="WUJ73" s="800"/>
      <c r="WUK73" s="800"/>
      <c r="WUL73" s="800"/>
      <c r="WUM73" s="800"/>
      <c r="WUN73" s="800"/>
      <c r="WUO73" s="705"/>
      <c r="WUP73" s="799"/>
      <c r="WUQ73" s="800"/>
      <c r="WUR73" s="800"/>
      <c r="WUS73" s="800"/>
      <c r="WUT73" s="800"/>
      <c r="WUU73" s="800"/>
      <c r="WUV73" s="705"/>
      <c r="WUW73" s="799"/>
      <c r="WUX73" s="800"/>
      <c r="WUY73" s="800"/>
      <c r="WUZ73" s="800"/>
      <c r="WVA73" s="800"/>
      <c r="WVB73" s="800"/>
      <c r="WVC73" s="705"/>
      <c r="WVD73" s="799"/>
      <c r="WVE73" s="800"/>
      <c r="WVF73" s="800"/>
      <c r="WVG73" s="800"/>
      <c r="WVH73" s="800"/>
      <c r="WVI73" s="800"/>
      <c r="WVJ73" s="705"/>
      <c r="WVK73" s="799"/>
      <c r="WVL73" s="800"/>
      <c r="WVM73" s="800"/>
      <c r="WVN73" s="800"/>
      <c r="WVO73" s="800"/>
      <c r="WVP73" s="800"/>
      <c r="WVQ73" s="705"/>
      <c r="WVR73" s="799"/>
      <c r="WVS73" s="800"/>
      <c r="WVT73" s="800"/>
      <c r="WVU73" s="800"/>
      <c r="WVV73" s="800"/>
      <c r="WVW73" s="800"/>
      <c r="WVX73" s="705"/>
      <c r="WVY73" s="799"/>
      <c r="WVZ73" s="800"/>
      <c r="WWA73" s="800"/>
      <c r="WWB73" s="800"/>
      <c r="WWC73" s="800"/>
      <c r="WWD73" s="800"/>
      <c r="WWE73" s="705"/>
      <c r="WWF73" s="799"/>
      <c r="WWG73" s="800"/>
      <c r="WWH73" s="800"/>
      <c r="WWI73" s="800"/>
      <c r="WWJ73" s="800"/>
      <c r="WWK73" s="800"/>
      <c r="WWL73" s="705"/>
      <c r="WWM73" s="799"/>
      <c r="WWN73" s="800"/>
      <c r="WWO73" s="800"/>
      <c r="WWP73" s="800"/>
      <c r="WWQ73" s="800"/>
      <c r="WWR73" s="800"/>
      <c r="WWS73" s="705"/>
      <c r="WWT73" s="799"/>
      <c r="WWU73" s="800"/>
      <c r="WWV73" s="800"/>
      <c r="WWW73" s="800"/>
      <c r="WWX73" s="800"/>
      <c r="WWY73" s="800"/>
      <c r="WWZ73" s="705"/>
      <c r="WXA73" s="799"/>
      <c r="WXB73" s="800"/>
      <c r="WXC73" s="800"/>
      <c r="WXD73" s="800"/>
      <c r="WXE73" s="800"/>
      <c r="WXF73" s="800"/>
      <c r="WXG73" s="705"/>
      <c r="WXH73" s="799"/>
      <c r="WXI73" s="800"/>
      <c r="WXJ73" s="800"/>
      <c r="WXK73" s="800"/>
      <c r="WXL73" s="800"/>
      <c r="WXM73" s="800"/>
      <c r="WXN73" s="705"/>
      <c r="WXO73" s="799"/>
      <c r="WXP73" s="800"/>
      <c r="WXQ73" s="800"/>
      <c r="WXR73" s="800"/>
      <c r="WXS73" s="800"/>
      <c r="WXT73" s="800"/>
      <c r="WXU73" s="705"/>
      <c r="WXV73" s="799"/>
      <c r="WXW73" s="800"/>
      <c r="WXX73" s="800"/>
      <c r="WXY73" s="800"/>
      <c r="WXZ73" s="800"/>
      <c r="WYA73" s="800"/>
      <c r="WYB73" s="705"/>
      <c r="WYC73" s="799"/>
      <c r="WYD73" s="800"/>
      <c r="WYE73" s="800"/>
      <c r="WYF73" s="800"/>
      <c r="WYG73" s="800"/>
      <c r="WYH73" s="800"/>
      <c r="WYI73" s="705"/>
      <c r="WYJ73" s="799"/>
      <c r="WYK73" s="800"/>
      <c r="WYL73" s="800"/>
      <c r="WYM73" s="800"/>
      <c r="WYN73" s="800"/>
      <c r="WYO73" s="800"/>
      <c r="WYP73" s="705"/>
      <c r="WYQ73" s="799"/>
      <c r="WYR73" s="800"/>
      <c r="WYS73" s="800"/>
      <c r="WYT73" s="800"/>
      <c r="WYU73" s="800"/>
      <c r="WYV73" s="800"/>
      <c r="WYW73" s="705"/>
      <c r="WYX73" s="799"/>
      <c r="WYY73" s="800"/>
      <c r="WYZ73" s="800"/>
      <c r="WZA73" s="800"/>
      <c r="WZB73" s="800"/>
      <c r="WZC73" s="800"/>
      <c r="WZD73" s="705"/>
      <c r="WZE73" s="799"/>
      <c r="WZF73" s="800"/>
      <c r="WZG73" s="800"/>
      <c r="WZH73" s="800"/>
      <c r="WZI73" s="800"/>
      <c r="WZJ73" s="800"/>
      <c r="WZK73" s="705"/>
      <c r="WZL73" s="799"/>
      <c r="WZM73" s="800"/>
      <c r="WZN73" s="800"/>
      <c r="WZO73" s="800"/>
      <c r="WZP73" s="800"/>
      <c r="WZQ73" s="800"/>
      <c r="WZR73" s="705"/>
      <c r="WZS73" s="799"/>
      <c r="WZT73" s="800"/>
      <c r="WZU73" s="800"/>
      <c r="WZV73" s="800"/>
      <c r="WZW73" s="800"/>
      <c r="WZX73" s="800"/>
      <c r="WZY73" s="705"/>
      <c r="WZZ73" s="799"/>
      <c r="XAA73" s="800"/>
      <c r="XAB73" s="800"/>
      <c r="XAC73" s="800"/>
      <c r="XAD73" s="800"/>
      <c r="XAE73" s="800"/>
      <c r="XAF73" s="705"/>
      <c r="XAG73" s="799"/>
      <c r="XAH73" s="800"/>
      <c r="XAI73" s="800"/>
      <c r="XAJ73" s="800"/>
      <c r="XAK73" s="800"/>
      <c r="XAL73" s="800"/>
      <c r="XAM73" s="705"/>
      <c r="XAN73" s="799"/>
      <c r="XAO73" s="800"/>
      <c r="XAP73" s="800"/>
      <c r="XAQ73" s="800"/>
      <c r="XAR73" s="800"/>
      <c r="XAS73" s="800"/>
      <c r="XAT73" s="705"/>
      <c r="XAU73" s="799"/>
      <c r="XAV73" s="800"/>
      <c r="XAW73" s="800"/>
      <c r="XAX73" s="800"/>
      <c r="XAY73" s="800"/>
      <c r="XAZ73" s="800"/>
      <c r="XBA73" s="705"/>
      <c r="XBB73" s="799"/>
      <c r="XBC73" s="800"/>
      <c r="XBD73" s="800"/>
      <c r="XBE73" s="800"/>
      <c r="XBF73" s="800"/>
      <c r="XBG73" s="800"/>
      <c r="XBH73" s="705"/>
      <c r="XBI73" s="799"/>
      <c r="XBJ73" s="800"/>
      <c r="XBK73" s="800"/>
      <c r="XBL73" s="800"/>
      <c r="XBM73" s="800"/>
      <c r="XBN73" s="800"/>
      <c r="XBO73" s="705"/>
      <c r="XBP73" s="799"/>
      <c r="XBQ73" s="800"/>
      <c r="XBR73" s="800"/>
      <c r="XBS73" s="800"/>
      <c r="XBT73" s="800"/>
      <c r="XBU73" s="800"/>
      <c r="XBV73" s="705"/>
      <c r="XBW73" s="799"/>
      <c r="XBX73" s="800"/>
      <c r="XBY73" s="800"/>
      <c r="XBZ73" s="800"/>
      <c r="XCA73" s="800"/>
      <c r="XCB73" s="800"/>
      <c r="XCC73" s="705"/>
      <c r="XCD73" s="799"/>
      <c r="XCE73" s="800"/>
      <c r="XCF73" s="800"/>
      <c r="XCG73" s="800"/>
      <c r="XCH73" s="800"/>
      <c r="XCI73" s="800"/>
      <c r="XCJ73" s="705"/>
      <c r="XCK73" s="799"/>
      <c r="XCL73" s="800"/>
      <c r="XCM73" s="800"/>
      <c r="XCN73" s="800"/>
      <c r="XCO73" s="800"/>
      <c r="XCP73" s="800"/>
      <c r="XCQ73" s="705"/>
      <c r="XCR73" s="799"/>
      <c r="XCS73" s="800"/>
      <c r="XCT73" s="800"/>
      <c r="XCU73" s="800"/>
      <c r="XCV73" s="800"/>
      <c r="XCW73" s="800"/>
      <c r="XCX73" s="705"/>
      <c r="XCY73" s="799"/>
      <c r="XCZ73" s="800"/>
      <c r="XDA73" s="800"/>
      <c r="XDB73" s="800"/>
      <c r="XDC73" s="800"/>
      <c r="XDD73" s="800"/>
      <c r="XDE73" s="705"/>
      <c r="XDF73" s="799"/>
      <c r="XDG73" s="800"/>
      <c r="XDH73" s="800"/>
      <c r="XDI73" s="800"/>
      <c r="XDJ73" s="800"/>
      <c r="XDK73" s="800"/>
      <c r="XDL73" s="705"/>
      <c r="XDM73" s="799"/>
      <c r="XDN73" s="800"/>
      <c r="XDO73" s="800"/>
      <c r="XDP73" s="800"/>
      <c r="XDQ73" s="800"/>
      <c r="XDR73" s="800"/>
      <c r="XDS73" s="705"/>
      <c r="XDT73" s="799"/>
      <c r="XDU73" s="800"/>
      <c r="XDV73" s="800"/>
      <c r="XDW73" s="800"/>
      <c r="XDX73" s="800"/>
      <c r="XDY73" s="800"/>
      <c r="XDZ73" s="705"/>
      <c r="XEA73" s="799"/>
      <c r="XEB73" s="800"/>
      <c r="XEC73" s="800"/>
      <c r="XED73" s="800"/>
      <c r="XEE73" s="800"/>
      <c r="XEF73" s="800"/>
      <c r="XEG73" s="705"/>
      <c r="XEH73" s="799"/>
      <c r="XEI73" s="800"/>
      <c r="XEJ73" s="800"/>
      <c r="XEK73" s="800"/>
      <c r="XEL73" s="800"/>
      <c r="XEM73" s="800"/>
      <c r="XEN73" s="705"/>
      <c r="XEO73" s="799"/>
      <c r="XEP73" s="800"/>
      <c r="XEQ73" s="800"/>
      <c r="XER73" s="800"/>
      <c r="XES73" s="800"/>
      <c r="XET73" s="800"/>
      <c r="XEU73" s="705"/>
      <c r="XEV73" s="799"/>
      <c r="XEW73" s="799"/>
      <c r="XEX73" s="799"/>
    </row>
    <row r="74" spans="1:16378" s="716" customFormat="1" ht="46.5" customHeight="1" x14ac:dyDescent="0.25">
      <c r="A74" s="705" t="s">
        <v>974</v>
      </c>
      <c r="B74" s="799" t="s">
        <v>1256</v>
      </c>
      <c r="C74" s="800"/>
      <c r="D74" s="800"/>
      <c r="E74" s="800"/>
      <c r="F74" s="800"/>
      <c r="G74" s="800"/>
      <c r="H74" s="708"/>
      <c r="I74" s="708"/>
      <c r="J74" s="797"/>
      <c r="K74" s="798"/>
      <c r="L74" s="798"/>
      <c r="M74" s="798"/>
      <c r="N74" s="798"/>
      <c r="O74" s="798"/>
      <c r="P74" s="708"/>
      <c r="Q74" s="797"/>
      <c r="R74" s="798"/>
      <c r="S74" s="798"/>
      <c r="T74" s="798"/>
      <c r="U74" s="798"/>
      <c r="V74" s="798"/>
      <c r="W74" s="708"/>
      <c r="X74" s="797"/>
      <c r="Y74" s="798"/>
      <c r="Z74" s="798"/>
      <c r="AA74" s="798"/>
      <c r="AB74" s="798"/>
      <c r="AC74" s="798"/>
      <c r="AD74" s="708"/>
      <c r="AE74" s="797"/>
      <c r="AF74" s="798"/>
      <c r="AG74" s="798"/>
      <c r="AH74" s="798"/>
      <c r="AI74" s="798"/>
      <c r="AJ74" s="798"/>
      <c r="AK74" s="708"/>
      <c r="AL74" s="797"/>
      <c r="AM74" s="798"/>
      <c r="AN74" s="798"/>
      <c r="AO74" s="798"/>
      <c r="AP74" s="798"/>
      <c r="AQ74" s="798"/>
      <c r="AR74" s="708"/>
      <c r="AS74" s="797"/>
      <c r="AT74" s="798"/>
      <c r="AU74" s="798"/>
      <c r="AV74" s="798"/>
      <c r="AW74" s="798"/>
      <c r="AX74" s="798"/>
      <c r="AY74" s="709"/>
      <c r="AZ74" s="799"/>
      <c r="BA74" s="800"/>
      <c r="BB74" s="800"/>
      <c r="BC74" s="800"/>
      <c r="BD74" s="800"/>
      <c r="BE74" s="800"/>
      <c r="BF74" s="705"/>
      <c r="BG74" s="799"/>
      <c r="BH74" s="800"/>
      <c r="BI74" s="800"/>
      <c r="BJ74" s="800"/>
      <c r="BK74" s="800"/>
      <c r="BL74" s="800"/>
      <c r="BM74" s="705"/>
      <c r="BN74" s="799"/>
      <c r="BO74" s="800"/>
      <c r="BP74" s="800"/>
      <c r="BQ74" s="800"/>
      <c r="BR74" s="800"/>
      <c r="BS74" s="800"/>
      <c r="BT74" s="705"/>
      <c r="BU74" s="799"/>
      <c r="BV74" s="800"/>
      <c r="BW74" s="800"/>
      <c r="BX74" s="800"/>
      <c r="BY74" s="800"/>
      <c r="BZ74" s="800"/>
      <c r="CA74" s="705"/>
      <c r="CB74" s="799"/>
      <c r="CC74" s="800"/>
      <c r="CD74" s="800"/>
      <c r="CE74" s="800"/>
      <c r="CF74" s="800"/>
      <c r="CG74" s="800"/>
      <c r="CH74" s="705"/>
      <c r="CI74" s="799"/>
      <c r="CJ74" s="800"/>
      <c r="CK74" s="800"/>
      <c r="CL74" s="800"/>
      <c r="CM74" s="800"/>
      <c r="CN74" s="800"/>
      <c r="CO74" s="705"/>
      <c r="CP74" s="799"/>
      <c r="CQ74" s="800"/>
      <c r="CR74" s="800"/>
      <c r="CS74" s="800"/>
      <c r="CT74" s="800"/>
      <c r="CU74" s="800"/>
      <c r="CV74" s="705"/>
      <c r="CW74" s="799"/>
      <c r="CX74" s="800"/>
      <c r="CY74" s="800"/>
      <c r="CZ74" s="800"/>
      <c r="DA74" s="800"/>
      <c r="DB74" s="800"/>
      <c r="DC74" s="705"/>
      <c r="DD74" s="799"/>
      <c r="DE74" s="800"/>
      <c r="DF74" s="800"/>
      <c r="DG74" s="800"/>
      <c r="DH74" s="800"/>
      <c r="DI74" s="800"/>
      <c r="DJ74" s="705"/>
      <c r="DK74" s="799"/>
      <c r="DL74" s="800"/>
      <c r="DM74" s="800"/>
      <c r="DN74" s="800"/>
      <c r="DO74" s="800"/>
      <c r="DP74" s="800"/>
      <c r="DQ74" s="705"/>
      <c r="DR74" s="799"/>
      <c r="DS74" s="800"/>
      <c r="DT74" s="800"/>
      <c r="DU74" s="800"/>
      <c r="DV74" s="800"/>
      <c r="DW74" s="800"/>
      <c r="DX74" s="705"/>
      <c r="DY74" s="799"/>
      <c r="DZ74" s="800"/>
      <c r="EA74" s="800"/>
      <c r="EB74" s="800"/>
      <c r="EC74" s="800"/>
      <c r="ED74" s="800"/>
      <c r="EE74" s="705"/>
      <c r="EF74" s="799"/>
      <c r="EG74" s="800"/>
      <c r="EH74" s="800"/>
      <c r="EI74" s="800"/>
      <c r="EJ74" s="800"/>
      <c r="EK74" s="800"/>
      <c r="EL74" s="705"/>
      <c r="EM74" s="799"/>
      <c r="EN74" s="800"/>
      <c r="EO74" s="800"/>
      <c r="EP74" s="800"/>
      <c r="EQ74" s="800"/>
      <c r="ER74" s="800"/>
      <c r="ES74" s="705"/>
      <c r="ET74" s="799"/>
      <c r="EU74" s="800"/>
      <c r="EV74" s="800"/>
      <c r="EW74" s="800"/>
      <c r="EX74" s="800"/>
      <c r="EY74" s="800"/>
      <c r="EZ74" s="705"/>
      <c r="FA74" s="799"/>
      <c r="FB74" s="800"/>
      <c r="FC74" s="800"/>
      <c r="FD74" s="800"/>
      <c r="FE74" s="800"/>
      <c r="FF74" s="800"/>
      <c r="FG74" s="705"/>
      <c r="FH74" s="799"/>
      <c r="FI74" s="800"/>
      <c r="FJ74" s="800"/>
      <c r="FK74" s="800"/>
      <c r="FL74" s="800"/>
      <c r="FM74" s="800"/>
      <c r="FN74" s="705"/>
      <c r="FO74" s="799"/>
      <c r="FP74" s="800"/>
      <c r="FQ74" s="800"/>
      <c r="FR74" s="800"/>
      <c r="FS74" s="800"/>
      <c r="FT74" s="800"/>
      <c r="FU74" s="705"/>
      <c r="FV74" s="799"/>
      <c r="FW74" s="800"/>
      <c r="FX74" s="800"/>
      <c r="FY74" s="800"/>
      <c r="FZ74" s="800"/>
      <c r="GA74" s="800"/>
      <c r="GB74" s="705"/>
      <c r="GC74" s="799"/>
      <c r="GD74" s="800"/>
      <c r="GE74" s="800"/>
      <c r="GF74" s="800"/>
      <c r="GG74" s="800"/>
      <c r="GH74" s="800"/>
      <c r="GI74" s="705"/>
      <c r="GJ74" s="799"/>
      <c r="GK74" s="800"/>
      <c r="GL74" s="800"/>
      <c r="GM74" s="800"/>
      <c r="GN74" s="800"/>
      <c r="GO74" s="800"/>
      <c r="GP74" s="705"/>
      <c r="GQ74" s="799"/>
      <c r="GR74" s="800"/>
      <c r="GS74" s="800"/>
      <c r="GT74" s="800"/>
      <c r="GU74" s="800"/>
      <c r="GV74" s="800"/>
      <c r="GW74" s="705"/>
      <c r="GX74" s="799"/>
      <c r="GY74" s="800"/>
      <c r="GZ74" s="800"/>
      <c r="HA74" s="800"/>
      <c r="HB74" s="800"/>
      <c r="HC74" s="800"/>
      <c r="HD74" s="705"/>
      <c r="HE74" s="799"/>
      <c r="HF74" s="800"/>
      <c r="HG74" s="800"/>
      <c r="HH74" s="800"/>
      <c r="HI74" s="800"/>
      <c r="HJ74" s="800"/>
      <c r="HK74" s="705"/>
      <c r="HL74" s="799"/>
      <c r="HM74" s="800"/>
      <c r="HN74" s="800"/>
      <c r="HO74" s="800"/>
      <c r="HP74" s="800"/>
      <c r="HQ74" s="800"/>
      <c r="HR74" s="705"/>
      <c r="HS74" s="799"/>
      <c r="HT74" s="800"/>
      <c r="HU74" s="800"/>
      <c r="HV74" s="800"/>
      <c r="HW74" s="800"/>
      <c r="HX74" s="800"/>
      <c r="HY74" s="705"/>
      <c r="HZ74" s="799"/>
      <c r="IA74" s="800"/>
      <c r="IB74" s="800"/>
      <c r="IC74" s="800"/>
      <c r="ID74" s="800"/>
      <c r="IE74" s="800"/>
      <c r="IF74" s="705"/>
      <c r="IG74" s="799"/>
      <c r="IH74" s="800"/>
      <c r="II74" s="800"/>
      <c r="IJ74" s="800"/>
      <c r="IK74" s="800"/>
      <c r="IL74" s="800"/>
      <c r="IM74" s="705"/>
      <c r="IN74" s="799"/>
      <c r="IO74" s="800"/>
      <c r="IP74" s="800"/>
      <c r="IQ74" s="800"/>
      <c r="IR74" s="800"/>
      <c r="IS74" s="800"/>
      <c r="IT74" s="705"/>
      <c r="IU74" s="799"/>
      <c r="IV74" s="800"/>
      <c r="IW74" s="800"/>
      <c r="IX74" s="800"/>
      <c r="IY74" s="800"/>
      <c r="IZ74" s="800"/>
      <c r="JA74" s="705"/>
      <c r="JB74" s="799"/>
      <c r="JC74" s="800"/>
      <c r="JD74" s="800"/>
      <c r="JE74" s="800"/>
      <c r="JF74" s="800"/>
      <c r="JG74" s="800"/>
      <c r="JH74" s="705"/>
      <c r="JI74" s="799"/>
      <c r="JJ74" s="800"/>
      <c r="JK74" s="800"/>
      <c r="JL74" s="800"/>
      <c r="JM74" s="800"/>
      <c r="JN74" s="800"/>
      <c r="JO74" s="705"/>
      <c r="JP74" s="799"/>
      <c r="JQ74" s="800"/>
      <c r="JR74" s="800"/>
      <c r="JS74" s="800"/>
      <c r="JT74" s="800"/>
      <c r="JU74" s="800"/>
      <c r="JV74" s="705"/>
      <c r="JW74" s="799"/>
      <c r="JX74" s="800"/>
      <c r="JY74" s="800"/>
      <c r="JZ74" s="800"/>
      <c r="KA74" s="800"/>
      <c r="KB74" s="800"/>
      <c r="KC74" s="705"/>
      <c r="KD74" s="799"/>
      <c r="KE74" s="800"/>
      <c r="KF74" s="800"/>
      <c r="KG74" s="800"/>
      <c r="KH74" s="800"/>
      <c r="KI74" s="800"/>
      <c r="KJ74" s="705"/>
      <c r="KK74" s="799"/>
      <c r="KL74" s="800"/>
      <c r="KM74" s="800"/>
      <c r="KN74" s="800"/>
      <c r="KO74" s="800"/>
      <c r="KP74" s="800"/>
      <c r="KQ74" s="705"/>
      <c r="KR74" s="799"/>
      <c r="KS74" s="800"/>
      <c r="KT74" s="800"/>
      <c r="KU74" s="800"/>
      <c r="KV74" s="800"/>
      <c r="KW74" s="800"/>
      <c r="KX74" s="705"/>
      <c r="KY74" s="799"/>
      <c r="KZ74" s="800"/>
      <c r="LA74" s="800"/>
      <c r="LB74" s="800"/>
      <c r="LC74" s="800"/>
      <c r="LD74" s="800"/>
      <c r="LE74" s="705"/>
      <c r="LF74" s="799"/>
      <c r="LG74" s="800"/>
      <c r="LH74" s="800"/>
      <c r="LI74" s="800"/>
      <c r="LJ74" s="800"/>
      <c r="LK74" s="800"/>
      <c r="LL74" s="705"/>
      <c r="LM74" s="799"/>
      <c r="LN74" s="800"/>
      <c r="LO74" s="800"/>
      <c r="LP74" s="800"/>
      <c r="LQ74" s="800"/>
      <c r="LR74" s="800"/>
      <c r="LS74" s="705"/>
      <c r="LT74" s="799"/>
      <c r="LU74" s="800"/>
      <c r="LV74" s="800"/>
      <c r="LW74" s="800"/>
      <c r="LX74" s="800"/>
      <c r="LY74" s="800"/>
      <c r="LZ74" s="705"/>
      <c r="MA74" s="799"/>
      <c r="MB74" s="800"/>
      <c r="MC74" s="800"/>
      <c r="MD74" s="800"/>
      <c r="ME74" s="800"/>
      <c r="MF74" s="800"/>
      <c r="MG74" s="705"/>
      <c r="MH74" s="799"/>
      <c r="MI74" s="800"/>
      <c r="MJ74" s="800"/>
      <c r="MK74" s="800"/>
      <c r="ML74" s="800"/>
      <c r="MM74" s="800"/>
      <c r="MN74" s="705"/>
      <c r="MO74" s="799"/>
      <c r="MP74" s="800"/>
      <c r="MQ74" s="800"/>
      <c r="MR74" s="800"/>
      <c r="MS74" s="800"/>
      <c r="MT74" s="800"/>
      <c r="MU74" s="705"/>
      <c r="MV74" s="799"/>
      <c r="MW74" s="800"/>
      <c r="MX74" s="800"/>
      <c r="MY74" s="800"/>
      <c r="MZ74" s="800"/>
      <c r="NA74" s="800"/>
      <c r="NB74" s="705"/>
      <c r="NC74" s="799"/>
      <c r="ND74" s="800"/>
      <c r="NE74" s="800"/>
      <c r="NF74" s="800"/>
      <c r="NG74" s="800"/>
      <c r="NH74" s="800"/>
      <c r="NI74" s="705"/>
      <c r="NJ74" s="799"/>
      <c r="NK74" s="800"/>
      <c r="NL74" s="800"/>
      <c r="NM74" s="800"/>
      <c r="NN74" s="800"/>
      <c r="NO74" s="800"/>
      <c r="NP74" s="705"/>
      <c r="NQ74" s="799"/>
      <c r="NR74" s="800"/>
      <c r="NS74" s="800"/>
      <c r="NT74" s="800"/>
      <c r="NU74" s="800"/>
      <c r="NV74" s="800"/>
      <c r="NW74" s="705"/>
      <c r="NX74" s="799"/>
      <c r="NY74" s="800"/>
      <c r="NZ74" s="800"/>
      <c r="OA74" s="800"/>
      <c r="OB74" s="800"/>
      <c r="OC74" s="800"/>
      <c r="OD74" s="705"/>
      <c r="OE74" s="799"/>
      <c r="OF74" s="800"/>
      <c r="OG74" s="800"/>
      <c r="OH74" s="800"/>
      <c r="OI74" s="800"/>
      <c r="OJ74" s="800"/>
      <c r="OK74" s="705"/>
      <c r="OL74" s="799"/>
      <c r="OM74" s="800"/>
      <c r="ON74" s="800"/>
      <c r="OO74" s="800"/>
      <c r="OP74" s="800"/>
      <c r="OQ74" s="800"/>
      <c r="OR74" s="705"/>
      <c r="OS74" s="799"/>
      <c r="OT74" s="800"/>
      <c r="OU74" s="800"/>
      <c r="OV74" s="800"/>
      <c r="OW74" s="800"/>
      <c r="OX74" s="800"/>
      <c r="OY74" s="705"/>
      <c r="OZ74" s="799"/>
      <c r="PA74" s="800"/>
      <c r="PB74" s="800"/>
      <c r="PC74" s="800"/>
      <c r="PD74" s="800"/>
      <c r="PE74" s="800"/>
      <c r="PF74" s="705"/>
      <c r="PG74" s="799"/>
      <c r="PH74" s="800"/>
      <c r="PI74" s="800"/>
      <c r="PJ74" s="800"/>
      <c r="PK74" s="800"/>
      <c r="PL74" s="800"/>
      <c r="PM74" s="705"/>
      <c r="PN74" s="799"/>
      <c r="PO74" s="800"/>
      <c r="PP74" s="800"/>
      <c r="PQ74" s="800"/>
      <c r="PR74" s="800"/>
      <c r="PS74" s="800"/>
      <c r="PT74" s="705"/>
      <c r="PU74" s="799"/>
      <c r="PV74" s="800"/>
      <c r="PW74" s="800"/>
      <c r="PX74" s="800"/>
      <c r="PY74" s="800"/>
      <c r="PZ74" s="800"/>
      <c r="QA74" s="705"/>
      <c r="QB74" s="799"/>
      <c r="QC74" s="800"/>
      <c r="QD74" s="800"/>
      <c r="QE74" s="800"/>
      <c r="QF74" s="800"/>
      <c r="QG74" s="800"/>
      <c r="QH74" s="705"/>
      <c r="QI74" s="799"/>
      <c r="QJ74" s="800"/>
      <c r="QK74" s="800"/>
      <c r="QL74" s="800"/>
      <c r="QM74" s="800"/>
      <c r="QN74" s="800"/>
      <c r="QO74" s="705"/>
      <c r="QP74" s="799"/>
      <c r="QQ74" s="800"/>
      <c r="QR74" s="800"/>
      <c r="QS74" s="800"/>
      <c r="QT74" s="800"/>
      <c r="QU74" s="800"/>
      <c r="QV74" s="705"/>
      <c r="QW74" s="799"/>
      <c r="QX74" s="800"/>
      <c r="QY74" s="800"/>
      <c r="QZ74" s="800"/>
      <c r="RA74" s="800"/>
      <c r="RB74" s="800"/>
      <c r="RC74" s="705"/>
      <c r="RD74" s="799"/>
      <c r="RE74" s="800"/>
      <c r="RF74" s="800"/>
      <c r="RG74" s="800"/>
      <c r="RH74" s="800"/>
      <c r="RI74" s="800"/>
      <c r="RJ74" s="705"/>
      <c r="RK74" s="799"/>
      <c r="RL74" s="800"/>
      <c r="RM74" s="800"/>
      <c r="RN74" s="800"/>
      <c r="RO74" s="800"/>
      <c r="RP74" s="800"/>
      <c r="RQ74" s="705"/>
      <c r="RR74" s="799"/>
      <c r="RS74" s="800"/>
      <c r="RT74" s="800"/>
      <c r="RU74" s="800"/>
      <c r="RV74" s="800"/>
      <c r="RW74" s="800"/>
      <c r="RX74" s="705"/>
      <c r="RY74" s="799"/>
      <c r="RZ74" s="800"/>
      <c r="SA74" s="800"/>
      <c r="SB74" s="800"/>
      <c r="SC74" s="800"/>
      <c r="SD74" s="800"/>
      <c r="SE74" s="705"/>
      <c r="SF74" s="799"/>
      <c r="SG74" s="800"/>
      <c r="SH74" s="800"/>
      <c r="SI74" s="800"/>
      <c r="SJ74" s="800"/>
      <c r="SK74" s="800"/>
      <c r="SL74" s="705"/>
      <c r="SM74" s="799"/>
      <c r="SN74" s="800"/>
      <c r="SO74" s="800"/>
      <c r="SP74" s="800"/>
      <c r="SQ74" s="800"/>
      <c r="SR74" s="800"/>
      <c r="SS74" s="705"/>
      <c r="ST74" s="799"/>
      <c r="SU74" s="800"/>
      <c r="SV74" s="800"/>
      <c r="SW74" s="800"/>
      <c r="SX74" s="800"/>
      <c r="SY74" s="800"/>
      <c r="SZ74" s="705"/>
      <c r="TA74" s="799"/>
      <c r="TB74" s="800"/>
      <c r="TC74" s="800"/>
      <c r="TD74" s="800"/>
      <c r="TE74" s="800"/>
      <c r="TF74" s="800"/>
      <c r="TG74" s="705"/>
      <c r="TH74" s="799"/>
      <c r="TI74" s="800"/>
      <c r="TJ74" s="800"/>
      <c r="TK74" s="800"/>
      <c r="TL74" s="800"/>
      <c r="TM74" s="800"/>
      <c r="TN74" s="705"/>
      <c r="TO74" s="799"/>
      <c r="TP74" s="800"/>
      <c r="TQ74" s="800"/>
      <c r="TR74" s="800"/>
      <c r="TS74" s="800"/>
      <c r="TT74" s="800"/>
      <c r="TU74" s="705"/>
      <c r="TV74" s="799"/>
      <c r="TW74" s="800"/>
      <c r="TX74" s="800"/>
      <c r="TY74" s="800"/>
      <c r="TZ74" s="800"/>
      <c r="UA74" s="800"/>
      <c r="UB74" s="705"/>
      <c r="UC74" s="799"/>
      <c r="UD74" s="800"/>
      <c r="UE74" s="800"/>
      <c r="UF74" s="800"/>
      <c r="UG74" s="800"/>
      <c r="UH74" s="800"/>
      <c r="UI74" s="705"/>
      <c r="UJ74" s="799"/>
      <c r="UK74" s="800"/>
      <c r="UL74" s="800"/>
      <c r="UM74" s="800"/>
      <c r="UN74" s="800"/>
      <c r="UO74" s="800"/>
      <c r="UP74" s="705"/>
      <c r="UQ74" s="799"/>
      <c r="UR74" s="800"/>
      <c r="US74" s="800"/>
      <c r="UT74" s="800"/>
      <c r="UU74" s="800"/>
      <c r="UV74" s="800"/>
      <c r="UW74" s="705"/>
      <c r="UX74" s="799"/>
      <c r="UY74" s="800"/>
      <c r="UZ74" s="800"/>
      <c r="VA74" s="800"/>
      <c r="VB74" s="800"/>
      <c r="VC74" s="800"/>
      <c r="VD74" s="705"/>
      <c r="VE74" s="799"/>
      <c r="VF74" s="800"/>
      <c r="VG74" s="800"/>
      <c r="VH74" s="800"/>
      <c r="VI74" s="800"/>
      <c r="VJ74" s="800"/>
      <c r="VK74" s="705"/>
      <c r="VL74" s="799"/>
      <c r="VM74" s="800"/>
      <c r="VN74" s="800"/>
      <c r="VO74" s="800"/>
      <c r="VP74" s="800"/>
      <c r="VQ74" s="800"/>
      <c r="VR74" s="705"/>
      <c r="VS74" s="799"/>
      <c r="VT74" s="800"/>
      <c r="VU74" s="800"/>
      <c r="VV74" s="800"/>
      <c r="VW74" s="800"/>
      <c r="VX74" s="800"/>
      <c r="VY74" s="705"/>
      <c r="VZ74" s="799"/>
      <c r="WA74" s="800"/>
      <c r="WB74" s="800"/>
      <c r="WC74" s="800"/>
      <c r="WD74" s="800"/>
      <c r="WE74" s="800"/>
      <c r="WF74" s="705"/>
      <c r="WG74" s="799"/>
      <c r="WH74" s="800"/>
      <c r="WI74" s="800"/>
      <c r="WJ74" s="800"/>
      <c r="WK74" s="800"/>
      <c r="WL74" s="800"/>
      <c r="WM74" s="705"/>
      <c r="WN74" s="799"/>
      <c r="WO74" s="800"/>
      <c r="WP74" s="800"/>
      <c r="WQ74" s="800"/>
      <c r="WR74" s="800"/>
      <c r="WS74" s="800"/>
      <c r="WT74" s="705"/>
      <c r="WU74" s="799"/>
      <c r="WV74" s="800"/>
      <c r="WW74" s="800"/>
      <c r="WX74" s="800"/>
      <c r="WY74" s="800"/>
      <c r="WZ74" s="800"/>
      <c r="XA74" s="705"/>
      <c r="XB74" s="799"/>
      <c r="XC74" s="800"/>
      <c r="XD74" s="800"/>
      <c r="XE74" s="800"/>
      <c r="XF74" s="800"/>
      <c r="XG74" s="800"/>
      <c r="XH74" s="705"/>
      <c r="XI74" s="799"/>
      <c r="XJ74" s="800"/>
      <c r="XK74" s="800"/>
      <c r="XL74" s="800"/>
      <c r="XM74" s="800"/>
      <c r="XN74" s="800"/>
      <c r="XO74" s="705"/>
      <c r="XP74" s="799"/>
      <c r="XQ74" s="800"/>
      <c r="XR74" s="800"/>
      <c r="XS74" s="800"/>
      <c r="XT74" s="800"/>
      <c r="XU74" s="800"/>
      <c r="XV74" s="705"/>
      <c r="XW74" s="799"/>
      <c r="XX74" s="800"/>
      <c r="XY74" s="800"/>
      <c r="XZ74" s="800"/>
      <c r="YA74" s="800"/>
      <c r="YB74" s="800"/>
      <c r="YC74" s="705"/>
      <c r="YD74" s="799"/>
      <c r="YE74" s="800"/>
      <c r="YF74" s="800"/>
      <c r="YG74" s="800"/>
      <c r="YH74" s="800"/>
      <c r="YI74" s="800"/>
      <c r="YJ74" s="705"/>
      <c r="YK74" s="799"/>
      <c r="YL74" s="800"/>
      <c r="YM74" s="800"/>
      <c r="YN74" s="800"/>
      <c r="YO74" s="800"/>
      <c r="YP74" s="800"/>
      <c r="YQ74" s="705"/>
      <c r="YR74" s="799"/>
      <c r="YS74" s="800"/>
      <c r="YT74" s="800"/>
      <c r="YU74" s="800"/>
      <c r="YV74" s="800"/>
      <c r="YW74" s="800"/>
      <c r="YX74" s="705"/>
      <c r="YY74" s="799"/>
      <c r="YZ74" s="800"/>
      <c r="ZA74" s="800"/>
      <c r="ZB74" s="800"/>
      <c r="ZC74" s="800"/>
      <c r="ZD74" s="800"/>
      <c r="ZE74" s="705"/>
      <c r="ZF74" s="799"/>
      <c r="ZG74" s="800"/>
      <c r="ZH74" s="800"/>
      <c r="ZI74" s="800"/>
      <c r="ZJ74" s="800"/>
      <c r="ZK74" s="800"/>
      <c r="ZL74" s="705"/>
      <c r="ZM74" s="799"/>
      <c r="ZN74" s="800"/>
      <c r="ZO74" s="800"/>
      <c r="ZP74" s="800"/>
      <c r="ZQ74" s="800"/>
      <c r="ZR74" s="800"/>
      <c r="ZS74" s="705"/>
      <c r="ZT74" s="799"/>
      <c r="ZU74" s="800"/>
      <c r="ZV74" s="800"/>
      <c r="ZW74" s="800"/>
      <c r="ZX74" s="800"/>
      <c r="ZY74" s="800"/>
      <c r="ZZ74" s="705"/>
      <c r="AAA74" s="799"/>
      <c r="AAB74" s="800"/>
      <c r="AAC74" s="800"/>
      <c r="AAD74" s="800"/>
      <c r="AAE74" s="800"/>
      <c r="AAF74" s="800"/>
      <c r="AAG74" s="705"/>
      <c r="AAH74" s="799"/>
      <c r="AAI74" s="800"/>
      <c r="AAJ74" s="800"/>
      <c r="AAK74" s="800"/>
      <c r="AAL74" s="800"/>
      <c r="AAM74" s="800"/>
      <c r="AAN74" s="705"/>
      <c r="AAO74" s="799"/>
      <c r="AAP74" s="800"/>
      <c r="AAQ74" s="800"/>
      <c r="AAR74" s="800"/>
      <c r="AAS74" s="800"/>
      <c r="AAT74" s="800"/>
      <c r="AAU74" s="705"/>
      <c r="AAV74" s="799"/>
      <c r="AAW74" s="800"/>
      <c r="AAX74" s="800"/>
      <c r="AAY74" s="800"/>
      <c r="AAZ74" s="800"/>
      <c r="ABA74" s="800"/>
      <c r="ABB74" s="705"/>
      <c r="ABC74" s="799"/>
      <c r="ABD74" s="800"/>
      <c r="ABE74" s="800"/>
      <c r="ABF74" s="800"/>
      <c r="ABG74" s="800"/>
      <c r="ABH74" s="800"/>
      <c r="ABI74" s="705"/>
      <c r="ABJ74" s="799"/>
      <c r="ABK74" s="800"/>
      <c r="ABL74" s="800"/>
      <c r="ABM74" s="800"/>
      <c r="ABN74" s="800"/>
      <c r="ABO74" s="800"/>
      <c r="ABP74" s="705"/>
      <c r="ABQ74" s="799"/>
      <c r="ABR74" s="800"/>
      <c r="ABS74" s="800"/>
      <c r="ABT74" s="800"/>
      <c r="ABU74" s="800"/>
      <c r="ABV74" s="800"/>
      <c r="ABW74" s="705"/>
      <c r="ABX74" s="799"/>
      <c r="ABY74" s="800"/>
      <c r="ABZ74" s="800"/>
      <c r="ACA74" s="800"/>
      <c r="ACB74" s="800"/>
      <c r="ACC74" s="800"/>
      <c r="ACD74" s="705"/>
      <c r="ACE74" s="799"/>
      <c r="ACF74" s="800"/>
      <c r="ACG74" s="800"/>
      <c r="ACH74" s="800"/>
      <c r="ACI74" s="800"/>
      <c r="ACJ74" s="800"/>
      <c r="ACK74" s="705"/>
      <c r="ACL74" s="799"/>
      <c r="ACM74" s="800"/>
      <c r="ACN74" s="800"/>
      <c r="ACO74" s="800"/>
      <c r="ACP74" s="800"/>
      <c r="ACQ74" s="800"/>
      <c r="ACR74" s="705"/>
      <c r="ACS74" s="799"/>
      <c r="ACT74" s="800"/>
      <c r="ACU74" s="800"/>
      <c r="ACV74" s="800"/>
      <c r="ACW74" s="800"/>
      <c r="ACX74" s="800"/>
      <c r="ACY74" s="705"/>
      <c r="ACZ74" s="799"/>
      <c r="ADA74" s="800"/>
      <c r="ADB74" s="800"/>
      <c r="ADC74" s="800"/>
      <c r="ADD74" s="800"/>
      <c r="ADE74" s="800"/>
      <c r="ADF74" s="705"/>
      <c r="ADG74" s="799"/>
      <c r="ADH74" s="800"/>
      <c r="ADI74" s="800"/>
      <c r="ADJ74" s="800"/>
      <c r="ADK74" s="800"/>
      <c r="ADL74" s="800"/>
      <c r="ADM74" s="705"/>
      <c r="ADN74" s="799"/>
      <c r="ADO74" s="800"/>
      <c r="ADP74" s="800"/>
      <c r="ADQ74" s="800"/>
      <c r="ADR74" s="800"/>
      <c r="ADS74" s="800"/>
      <c r="ADT74" s="705"/>
      <c r="ADU74" s="799"/>
      <c r="ADV74" s="800"/>
      <c r="ADW74" s="800"/>
      <c r="ADX74" s="800"/>
      <c r="ADY74" s="800"/>
      <c r="ADZ74" s="800"/>
      <c r="AEA74" s="705"/>
      <c r="AEB74" s="799"/>
      <c r="AEC74" s="800"/>
      <c r="AED74" s="800"/>
      <c r="AEE74" s="800"/>
      <c r="AEF74" s="800"/>
      <c r="AEG74" s="800"/>
      <c r="AEH74" s="705"/>
      <c r="AEI74" s="799"/>
      <c r="AEJ74" s="800"/>
      <c r="AEK74" s="800"/>
      <c r="AEL74" s="800"/>
      <c r="AEM74" s="800"/>
      <c r="AEN74" s="800"/>
      <c r="AEO74" s="705"/>
      <c r="AEP74" s="799"/>
      <c r="AEQ74" s="800"/>
      <c r="AER74" s="800"/>
      <c r="AES74" s="800"/>
      <c r="AET74" s="800"/>
      <c r="AEU74" s="800"/>
      <c r="AEV74" s="705"/>
      <c r="AEW74" s="799"/>
      <c r="AEX74" s="800"/>
      <c r="AEY74" s="800"/>
      <c r="AEZ74" s="800"/>
      <c r="AFA74" s="800"/>
      <c r="AFB74" s="800"/>
      <c r="AFC74" s="705"/>
      <c r="AFD74" s="799"/>
      <c r="AFE74" s="800"/>
      <c r="AFF74" s="800"/>
      <c r="AFG74" s="800"/>
      <c r="AFH74" s="800"/>
      <c r="AFI74" s="800"/>
      <c r="AFJ74" s="705"/>
      <c r="AFK74" s="799"/>
      <c r="AFL74" s="800"/>
      <c r="AFM74" s="800"/>
      <c r="AFN74" s="800"/>
      <c r="AFO74" s="800"/>
      <c r="AFP74" s="800"/>
      <c r="AFQ74" s="705"/>
      <c r="AFR74" s="799"/>
      <c r="AFS74" s="800"/>
      <c r="AFT74" s="800"/>
      <c r="AFU74" s="800"/>
      <c r="AFV74" s="800"/>
      <c r="AFW74" s="800"/>
      <c r="AFX74" s="705"/>
      <c r="AFY74" s="799"/>
      <c r="AFZ74" s="800"/>
      <c r="AGA74" s="800"/>
      <c r="AGB74" s="800"/>
      <c r="AGC74" s="800"/>
      <c r="AGD74" s="800"/>
      <c r="AGE74" s="705"/>
      <c r="AGF74" s="799"/>
      <c r="AGG74" s="800"/>
      <c r="AGH74" s="800"/>
      <c r="AGI74" s="800"/>
      <c r="AGJ74" s="800"/>
      <c r="AGK74" s="800"/>
      <c r="AGL74" s="705"/>
      <c r="AGM74" s="799"/>
      <c r="AGN74" s="800"/>
      <c r="AGO74" s="800"/>
      <c r="AGP74" s="800"/>
      <c r="AGQ74" s="800"/>
      <c r="AGR74" s="800"/>
      <c r="AGS74" s="705"/>
      <c r="AGT74" s="799"/>
      <c r="AGU74" s="800"/>
      <c r="AGV74" s="800"/>
      <c r="AGW74" s="800"/>
      <c r="AGX74" s="800"/>
      <c r="AGY74" s="800"/>
      <c r="AGZ74" s="705"/>
      <c r="AHA74" s="799"/>
      <c r="AHB74" s="800"/>
      <c r="AHC74" s="800"/>
      <c r="AHD74" s="800"/>
      <c r="AHE74" s="800"/>
      <c r="AHF74" s="800"/>
      <c r="AHG74" s="705"/>
      <c r="AHH74" s="799"/>
      <c r="AHI74" s="800"/>
      <c r="AHJ74" s="800"/>
      <c r="AHK74" s="800"/>
      <c r="AHL74" s="800"/>
      <c r="AHM74" s="800"/>
      <c r="AHN74" s="705"/>
      <c r="AHO74" s="799"/>
      <c r="AHP74" s="800"/>
      <c r="AHQ74" s="800"/>
      <c r="AHR74" s="800"/>
      <c r="AHS74" s="800"/>
      <c r="AHT74" s="800"/>
      <c r="AHU74" s="705"/>
      <c r="AHV74" s="799"/>
      <c r="AHW74" s="800"/>
      <c r="AHX74" s="800"/>
      <c r="AHY74" s="800"/>
      <c r="AHZ74" s="800"/>
      <c r="AIA74" s="800"/>
      <c r="AIB74" s="705"/>
      <c r="AIC74" s="799"/>
      <c r="AID74" s="800"/>
      <c r="AIE74" s="800"/>
      <c r="AIF74" s="800"/>
      <c r="AIG74" s="800"/>
      <c r="AIH74" s="800"/>
      <c r="AII74" s="705"/>
      <c r="AIJ74" s="799"/>
      <c r="AIK74" s="800"/>
      <c r="AIL74" s="800"/>
      <c r="AIM74" s="800"/>
      <c r="AIN74" s="800"/>
      <c r="AIO74" s="800"/>
      <c r="AIP74" s="705"/>
      <c r="AIQ74" s="799"/>
      <c r="AIR74" s="800"/>
      <c r="AIS74" s="800"/>
      <c r="AIT74" s="800"/>
      <c r="AIU74" s="800"/>
      <c r="AIV74" s="800"/>
      <c r="AIW74" s="705"/>
      <c r="AIX74" s="799"/>
      <c r="AIY74" s="800"/>
      <c r="AIZ74" s="800"/>
      <c r="AJA74" s="800"/>
      <c r="AJB74" s="800"/>
      <c r="AJC74" s="800"/>
      <c r="AJD74" s="705"/>
      <c r="AJE74" s="799"/>
      <c r="AJF74" s="800"/>
      <c r="AJG74" s="800"/>
      <c r="AJH74" s="800"/>
      <c r="AJI74" s="800"/>
      <c r="AJJ74" s="800"/>
      <c r="AJK74" s="705"/>
      <c r="AJL74" s="799"/>
      <c r="AJM74" s="800"/>
      <c r="AJN74" s="800"/>
      <c r="AJO74" s="800"/>
      <c r="AJP74" s="800"/>
      <c r="AJQ74" s="800"/>
      <c r="AJR74" s="705"/>
      <c r="AJS74" s="799"/>
      <c r="AJT74" s="800"/>
      <c r="AJU74" s="800"/>
      <c r="AJV74" s="800"/>
      <c r="AJW74" s="800"/>
      <c r="AJX74" s="800"/>
      <c r="AJY74" s="705"/>
      <c r="AJZ74" s="799"/>
      <c r="AKA74" s="800"/>
      <c r="AKB74" s="800"/>
      <c r="AKC74" s="800"/>
      <c r="AKD74" s="800"/>
      <c r="AKE74" s="800"/>
      <c r="AKF74" s="705"/>
      <c r="AKG74" s="799"/>
      <c r="AKH74" s="800"/>
      <c r="AKI74" s="800"/>
      <c r="AKJ74" s="800"/>
      <c r="AKK74" s="800"/>
      <c r="AKL74" s="800"/>
      <c r="AKM74" s="705"/>
      <c r="AKN74" s="799"/>
      <c r="AKO74" s="800"/>
      <c r="AKP74" s="800"/>
      <c r="AKQ74" s="800"/>
      <c r="AKR74" s="800"/>
      <c r="AKS74" s="800"/>
      <c r="AKT74" s="705"/>
      <c r="AKU74" s="799"/>
      <c r="AKV74" s="800"/>
      <c r="AKW74" s="800"/>
      <c r="AKX74" s="800"/>
      <c r="AKY74" s="800"/>
      <c r="AKZ74" s="800"/>
      <c r="ALA74" s="705"/>
      <c r="ALB74" s="799"/>
      <c r="ALC74" s="800"/>
      <c r="ALD74" s="800"/>
      <c r="ALE74" s="800"/>
      <c r="ALF74" s="800"/>
      <c r="ALG74" s="800"/>
      <c r="ALH74" s="705"/>
      <c r="ALI74" s="799"/>
      <c r="ALJ74" s="800"/>
      <c r="ALK74" s="800"/>
      <c r="ALL74" s="800"/>
      <c r="ALM74" s="800"/>
      <c r="ALN74" s="800"/>
      <c r="ALO74" s="705"/>
      <c r="ALP74" s="799"/>
      <c r="ALQ74" s="800"/>
      <c r="ALR74" s="800"/>
      <c r="ALS74" s="800"/>
      <c r="ALT74" s="800"/>
      <c r="ALU74" s="800"/>
      <c r="ALV74" s="705"/>
      <c r="ALW74" s="799"/>
      <c r="ALX74" s="800"/>
      <c r="ALY74" s="800"/>
      <c r="ALZ74" s="800"/>
      <c r="AMA74" s="800"/>
      <c r="AMB74" s="800"/>
      <c r="AMC74" s="705"/>
      <c r="AMD74" s="799"/>
      <c r="AME74" s="800"/>
      <c r="AMF74" s="800"/>
      <c r="AMG74" s="800"/>
      <c r="AMH74" s="800"/>
      <c r="AMI74" s="800"/>
      <c r="AMJ74" s="705"/>
      <c r="AMK74" s="799"/>
      <c r="AML74" s="800"/>
      <c r="AMM74" s="800"/>
      <c r="AMN74" s="800"/>
      <c r="AMO74" s="800"/>
      <c r="AMP74" s="800"/>
      <c r="AMQ74" s="705"/>
      <c r="AMR74" s="799"/>
      <c r="AMS74" s="800"/>
      <c r="AMT74" s="800"/>
      <c r="AMU74" s="800"/>
      <c r="AMV74" s="800"/>
      <c r="AMW74" s="800"/>
      <c r="AMX74" s="705"/>
      <c r="AMY74" s="799"/>
      <c r="AMZ74" s="800"/>
      <c r="ANA74" s="800"/>
      <c r="ANB74" s="800"/>
      <c r="ANC74" s="800"/>
      <c r="AND74" s="800"/>
      <c r="ANE74" s="705"/>
      <c r="ANF74" s="799"/>
      <c r="ANG74" s="800"/>
      <c r="ANH74" s="800"/>
      <c r="ANI74" s="800"/>
      <c r="ANJ74" s="800"/>
      <c r="ANK74" s="800"/>
      <c r="ANL74" s="705"/>
      <c r="ANM74" s="799"/>
      <c r="ANN74" s="800"/>
      <c r="ANO74" s="800"/>
      <c r="ANP74" s="800"/>
      <c r="ANQ74" s="800"/>
      <c r="ANR74" s="800"/>
      <c r="ANS74" s="705"/>
      <c r="ANT74" s="799"/>
      <c r="ANU74" s="800"/>
      <c r="ANV74" s="800"/>
      <c r="ANW74" s="800"/>
      <c r="ANX74" s="800"/>
      <c r="ANY74" s="800"/>
      <c r="ANZ74" s="705"/>
      <c r="AOA74" s="799"/>
      <c r="AOB74" s="800"/>
      <c r="AOC74" s="800"/>
      <c r="AOD74" s="800"/>
      <c r="AOE74" s="800"/>
      <c r="AOF74" s="800"/>
      <c r="AOG74" s="705"/>
      <c r="AOH74" s="799"/>
      <c r="AOI74" s="800"/>
      <c r="AOJ74" s="800"/>
      <c r="AOK74" s="800"/>
      <c r="AOL74" s="800"/>
      <c r="AOM74" s="800"/>
      <c r="AON74" s="705"/>
      <c r="AOO74" s="799"/>
      <c r="AOP74" s="800"/>
      <c r="AOQ74" s="800"/>
      <c r="AOR74" s="800"/>
      <c r="AOS74" s="800"/>
      <c r="AOT74" s="800"/>
      <c r="AOU74" s="705"/>
      <c r="AOV74" s="799"/>
      <c r="AOW74" s="800"/>
      <c r="AOX74" s="800"/>
      <c r="AOY74" s="800"/>
      <c r="AOZ74" s="800"/>
      <c r="APA74" s="800"/>
      <c r="APB74" s="705"/>
      <c r="APC74" s="799"/>
      <c r="APD74" s="800"/>
      <c r="APE74" s="800"/>
      <c r="APF74" s="800"/>
      <c r="APG74" s="800"/>
      <c r="APH74" s="800"/>
      <c r="API74" s="705"/>
      <c r="APJ74" s="799"/>
      <c r="APK74" s="800"/>
      <c r="APL74" s="800"/>
      <c r="APM74" s="800"/>
      <c r="APN74" s="800"/>
      <c r="APO74" s="800"/>
      <c r="APP74" s="705"/>
      <c r="APQ74" s="799"/>
      <c r="APR74" s="800"/>
      <c r="APS74" s="800"/>
      <c r="APT74" s="800"/>
      <c r="APU74" s="800"/>
      <c r="APV74" s="800"/>
      <c r="APW74" s="705"/>
      <c r="APX74" s="799"/>
      <c r="APY74" s="800"/>
      <c r="APZ74" s="800"/>
      <c r="AQA74" s="800"/>
      <c r="AQB74" s="800"/>
      <c r="AQC74" s="800"/>
      <c r="AQD74" s="705"/>
      <c r="AQE74" s="799"/>
      <c r="AQF74" s="800"/>
      <c r="AQG74" s="800"/>
      <c r="AQH74" s="800"/>
      <c r="AQI74" s="800"/>
      <c r="AQJ74" s="800"/>
      <c r="AQK74" s="705"/>
      <c r="AQL74" s="799"/>
      <c r="AQM74" s="800"/>
      <c r="AQN74" s="800"/>
      <c r="AQO74" s="800"/>
      <c r="AQP74" s="800"/>
      <c r="AQQ74" s="800"/>
      <c r="AQR74" s="705"/>
      <c r="AQS74" s="799"/>
      <c r="AQT74" s="800"/>
      <c r="AQU74" s="800"/>
      <c r="AQV74" s="800"/>
      <c r="AQW74" s="800"/>
      <c r="AQX74" s="800"/>
      <c r="AQY74" s="705"/>
      <c r="AQZ74" s="799"/>
      <c r="ARA74" s="800"/>
      <c r="ARB74" s="800"/>
      <c r="ARC74" s="800"/>
      <c r="ARD74" s="800"/>
      <c r="ARE74" s="800"/>
      <c r="ARF74" s="705"/>
      <c r="ARG74" s="799"/>
      <c r="ARH74" s="800"/>
      <c r="ARI74" s="800"/>
      <c r="ARJ74" s="800"/>
      <c r="ARK74" s="800"/>
      <c r="ARL74" s="800"/>
      <c r="ARM74" s="705"/>
      <c r="ARN74" s="799"/>
      <c r="ARO74" s="800"/>
      <c r="ARP74" s="800"/>
      <c r="ARQ74" s="800"/>
      <c r="ARR74" s="800"/>
      <c r="ARS74" s="800"/>
      <c r="ART74" s="705"/>
      <c r="ARU74" s="799"/>
      <c r="ARV74" s="800"/>
      <c r="ARW74" s="800"/>
      <c r="ARX74" s="800"/>
      <c r="ARY74" s="800"/>
      <c r="ARZ74" s="800"/>
      <c r="ASA74" s="705"/>
      <c r="ASB74" s="799"/>
      <c r="ASC74" s="800"/>
      <c r="ASD74" s="800"/>
      <c r="ASE74" s="800"/>
      <c r="ASF74" s="800"/>
      <c r="ASG74" s="800"/>
      <c r="ASH74" s="705"/>
      <c r="ASI74" s="799"/>
      <c r="ASJ74" s="800"/>
      <c r="ASK74" s="800"/>
      <c r="ASL74" s="800"/>
      <c r="ASM74" s="800"/>
      <c r="ASN74" s="800"/>
      <c r="ASO74" s="705"/>
      <c r="ASP74" s="799"/>
      <c r="ASQ74" s="800"/>
      <c r="ASR74" s="800"/>
      <c r="ASS74" s="800"/>
      <c r="AST74" s="800"/>
      <c r="ASU74" s="800"/>
      <c r="ASV74" s="705"/>
      <c r="ASW74" s="799"/>
      <c r="ASX74" s="800"/>
      <c r="ASY74" s="800"/>
      <c r="ASZ74" s="800"/>
      <c r="ATA74" s="800"/>
      <c r="ATB74" s="800"/>
      <c r="ATC74" s="705"/>
      <c r="ATD74" s="799"/>
      <c r="ATE74" s="800"/>
      <c r="ATF74" s="800"/>
      <c r="ATG74" s="800"/>
      <c r="ATH74" s="800"/>
      <c r="ATI74" s="800"/>
      <c r="ATJ74" s="705"/>
      <c r="ATK74" s="799"/>
      <c r="ATL74" s="800"/>
      <c r="ATM74" s="800"/>
      <c r="ATN74" s="800"/>
      <c r="ATO74" s="800"/>
      <c r="ATP74" s="800"/>
      <c r="ATQ74" s="705"/>
      <c r="ATR74" s="799"/>
      <c r="ATS74" s="800"/>
      <c r="ATT74" s="800"/>
      <c r="ATU74" s="800"/>
      <c r="ATV74" s="800"/>
      <c r="ATW74" s="800"/>
      <c r="ATX74" s="705"/>
      <c r="ATY74" s="799"/>
      <c r="ATZ74" s="800"/>
      <c r="AUA74" s="800"/>
      <c r="AUB74" s="800"/>
      <c r="AUC74" s="800"/>
      <c r="AUD74" s="800"/>
      <c r="AUE74" s="705"/>
      <c r="AUF74" s="799"/>
      <c r="AUG74" s="800"/>
      <c r="AUH74" s="800"/>
      <c r="AUI74" s="800"/>
      <c r="AUJ74" s="800"/>
      <c r="AUK74" s="800"/>
      <c r="AUL74" s="705"/>
      <c r="AUM74" s="799"/>
      <c r="AUN74" s="800"/>
      <c r="AUO74" s="800"/>
      <c r="AUP74" s="800"/>
      <c r="AUQ74" s="800"/>
      <c r="AUR74" s="800"/>
      <c r="AUS74" s="705"/>
      <c r="AUT74" s="799"/>
      <c r="AUU74" s="800"/>
      <c r="AUV74" s="800"/>
      <c r="AUW74" s="800"/>
      <c r="AUX74" s="800"/>
      <c r="AUY74" s="800"/>
      <c r="AUZ74" s="705"/>
      <c r="AVA74" s="799"/>
      <c r="AVB74" s="800"/>
      <c r="AVC74" s="800"/>
      <c r="AVD74" s="800"/>
      <c r="AVE74" s="800"/>
      <c r="AVF74" s="800"/>
      <c r="AVG74" s="705"/>
      <c r="AVH74" s="799"/>
      <c r="AVI74" s="800"/>
      <c r="AVJ74" s="800"/>
      <c r="AVK74" s="800"/>
      <c r="AVL74" s="800"/>
      <c r="AVM74" s="800"/>
      <c r="AVN74" s="705"/>
      <c r="AVO74" s="799"/>
      <c r="AVP74" s="800"/>
      <c r="AVQ74" s="800"/>
      <c r="AVR74" s="800"/>
      <c r="AVS74" s="800"/>
      <c r="AVT74" s="800"/>
      <c r="AVU74" s="705"/>
      <c r="AVV74" s="799"/>
      <c r="AVW74" s="800"/>
      <c r="AVX74" s="800"/>
      <c r="AVY74" s="800"/>
      <c r="AVZ74" s="800"/>
      <c r="AWA74" s="800"/>
      <c r="AWB74" s="705"/>
      <c r="AWC74" s="799"/>
      <c r="AWD74" s="800"/>
      <c r="AWE74" s="800"/>
      <c r="AWF74" s="800"/>
      <c r="AWG74" s="800"/>
      <c r="AWH74" s="800"/>
      <c r="AWI74" s="705"/>
      <c r="AWJ74" s="799"/>
      <c r="AWK74" s="800"/>
      <c r="AWL74" s="800"/>
      <c r="AWM74" s="800"/>
      <c r="AWN74" s="800"/>
      <c r="AWO74" s="800"/>
      <c r="AWP74" s="705"/>
      <c r="AWQ74" s="799"/>
      <c r="AWR74" s="800"/>
      <c r="AWS74" s="800"/>
      <c r="AWT74" s="800"/>
      <c r="AWU74" s="800"/>
      <c r="AWV74" s="800"/>
      <c r="AWW74" s="705"/>
      <c r="AWX74" s="799"/>
      <c r="AWY74" s="800"/>
      <c r="AWZ74" s="800"/>
      <c r="AXA74" s="800"/>
      <c r="AXB74" s="800"/>
      <c r="AXC74" s="800"/>
      <c r="AXD74" s="705"/>
      <c r="AXE74" s="799"/>
      <c r="AXF74" s="800"/>
      <c r="AXG74" s="800"/>
      <c r="AXH74" s="800"/>
      <c r="AXI74" s="800"/>
      <c r="AXJ74" s="800"/>
      <c r="AXK74" s="705"/>
      <c r="AXL74" s="799"/>
      <c r="AXM74" s="800"/>
      <c r="AXN74" s="800"/>
      <c r="AXO74" s="800"/>
      <c r="AXP74" s="800"/>
      <c r="AXQ74" s="800"/>
      <c r="AXR74" s="705"/>
      <c r="AXS74" s="799"/>
      <c r="AXT74" s="800"/>
      <c r="AXU74" s="800"/>
      <c r="AXV74" s="800"/>
      <c r="AXW74" s="800"/>
      <c r="AXX74" s="800"/>
      <c r="AXY74" s="705"/>
      <c r="AXZ74" s="799"/>
      <c r="AYA74" s="800"/>
      <c r="AYB74" s="800"/>
      <c r="AYC74" s="800"/>
      <c r="AYD74" s="800"/>
      <c r="AYE74" s="800"/>
      <c r="AYF74" s="705"/>
      <c r="AYG74" s="799"/>
      <c r="AYH74" s="800"/>
      <c r="AYI74" s="800"/>
      <c r="AYJ74" s="800"/>
      <c r="AYK74" s="800"/>
      <c r="AYL74" s="800"/>
      <c r="AYM74" s="705"/>
      <c r="AYN74" s="799"/>
      <c r="AYO74" s="800"/>
      <c r="AYP74" s="800"/>
      <c r="AYQ74" s="800"/>
      <c r="AYR74" s="800"/>
      <c r="AYS74" s="800"/>
      <c r="AYT74" s="705"/>
      <c r="AYU74" s="799"/>
      <c r="AYV74" s="800"/>
      <c r="AYW74" s="800"/>
      <c r="AYX74" s="800"/>
      <c r="AYY74" s="800"/>
      <c r="AYZ74" s="800"/>
      <c r="AZA74" s="705"/>
      <c r="AZB74" s="799"/>
      <c r="AZC74" s="800"/>
      <c r="AZD74" s="800"/>
      <c r="AZE74" s="800"/>
      <c r="AZF74" s="800"/>
      <c r="AZG74" s="800"/>
      <c r="AZH74" s="705"/>
      <c r="AZI74" s="799"/>
      <c r="AZJ74" s="800"/>
      <c r="AZK74" s="800"/>
      <c r="AZL74" s="800"/>
      <c r="AZM74" s="800"/>
      <c r="AZN74" s="800"/>
      <c r="AZO74" s="705"/>
      <c r="AZP74" s="799"/>
      <c r="AZQ74" s="800"/>
      <c r="AZR74" s="800"/>
      <c r="AZS74" s="800"/>
      <c r="AZT74" s="800"/>
      <c r="AZU74" s="800"/>
      <c r="AZV74" s="705"/>
      <c r="AZW74" s="799"/>
      <c r="AZX74" s="800"/>
      <c r="AZY74" s="800"/>
      <c r="AZZ74" s="800"/>
      <c r="BAA74" s="800"/>
      <c r="BAB74" s="800"/>
      <c r="BAC74" s="705"/>
      <c r="BAD74" s="799"/>
      <c r="BAE74" s="800"/>
      <c r="BAF74" s="800"/>
      <c r="BAG74" s="800"/>
      <c r="BAH74" s="800"/>
      <c r="BAI74" s="800"/>
      <c r="BAJ74" s="705"/>
      <c r="BAK74" s="799"/>
      <c r="BAL74" s="800"/>
      <c r="BAM74" s="800"/>
      <c r="BAN74" s="800"/>
      <c r="BAO74" s="800"/>
      <c r="BAP74" s="800"/>
      <c r="BAQ74" s="705"/>
      <c r="BAR74" s="799"/>
      <c r="BAS74" s="800"/>
      <c r="BAT74" s="800"/>
      <c r="BAU74" s="800"/>
      <c r="BAV74" s="800"/>
      <c r="BAW74" s="800"/>
      <c r="BAX74" s="705"/>
      <c r="BAY74" s="799"/>
      <c r="BAZ74" s="800"/>
      <c r="BBA74" s="800"/>
      <c r="BBB74" s="800"/>
      <c r="BBC74" s="800"/>
      <c r="BBD74" s="800"/>
      <c r="BBE74" s="705"/>
      <c r="BBF74" s="799"/>
      <c r="BBG74" s="800"/>
      <c r="BBH74" s="800"/>
      <c r="BBI74" s="800"/>
      <c r="BBJ74" s="800"/>
      <c r="BBK74" s="800"/>
      <c r="BBL74" s="705"/>
      <c r="BBM74" s="799"/>
      <c r="BBN74" s="800"/>
      <c r="BBO74" s="800"/>
      <c r="BBP74" s="800"/>
      <c r="BBQ74" s="800"/>
      <c r="BBR74" s="800"/>
      <c r="BBS74" s="705"/>
      <c r="BBT74" s="799"/>
      <c r="BBU74" s="800"/>
      <c r="BBV74" s="800"/>
      <c r="BBW74" s="800"/>
      <c r="BBX74" s="800"/>
      <c r="BBY74" s="800"/>
      <c r="BBZ74" s="705"/>
      <c r="BCA74" s="799"/>
      <c r="BCB74" s="800"/>
      <c r="BCC74" s="800"/>
      <c r="BCD74" s="800"/>
      <c r="BCE74" s="800"/>
      <c r="BCF74" s="800"/>
      <c r="BCG74" s="705"/>
      <c r="BCH74" s="799"/>
      <c r="BCI74" s="800"/>
      <c r="BCJ74" s="800"/>
      <c r="BCK74" s="800"/>
      <c r="BCL74" s="800"/>
      <c r="BCM74" s="800"/>
      <c r="BCN74" s="705"/>
      <c r="BCO74" s="799"/>
      <c r="BCP74" s="800"/>
      <c r="BCQ74" s="800"/>
      <c r="BCR74" s="800"/>
      <c r="BCS74" s="800"/>
      <c r="BCT74" s="800"/>
      <c r="BCU74" s="705"/>
      <c r="BCV74" s="799"/>
      <c r="BCW74" s="800"/>
      <c r="BCX74" s="800"/>
      <c r="BCY74" s="800"/>
      <c r="BCZ74" s="800"/>
      <c r="BDA74" s="800"/>
      <c r="BDB74" s="705"/>
      <c r="BDC74" s="799"/>
      <c r="BDD74" s="800"/>
      <c r="BDE74" s="800"/>
      <c r="BDF74" s="800"/>
      <c r="BDG74" s="800"/>
      <c r="BDH74" s="800"/>
      <c r="BDI74" s="705"/>
      <c r="BDJ74" s="799"/>
      <c r="BDK74" s="800"/>
      <c r="BDL74" s="800"/>
      <c r="BDM74" s="800"/>
      <c r="BDN74" s="800"/>
      <c r="BDO74" s="800"/>
      <c r="BDP74" s="705"/>
      <c r="BDQ74" s="799"/>
      <c r="BDR74" s="800"/>
      <c r="BDS74" s="800"/>
      <c r="BDT74" s="800"/>
      <c r="BDU74" s="800"/>
      <c r="BDV74" s="800"/>
      <c r="BDW74" s="705"/>
      <c r="BDX74" s="799"/>
      <c r="BDY74" s="800"/>
      <c r="BDZ74" s="800"/>
      <c r="BEA74" s="800"/>
      <c r="BEB74" s="800"/>
      <c r="BEC74" s="800"/>
      <c r="BED74" s="705"/>
      <c r="BEE74" s="799"/>
      <c r="BEF74" s="800"/>
      <c r="BEG74" s="800"/>
      <c r="BEH74" s="800"/>
      <c r="BEI74" s="800"/>
      <c r="BEJ74" s="800"/>
      <c r="BEK74" s="705"/>
      <c r="BEL74" s="799"/>
      <c r="BEM74" s="800"/>
      <c r="BEN74" s="800"/>
      <c r="BEO74" s="800"/>
      <c r="BEP74" s="800"/>
      <c r="BEQ74" s="800"/>
      <c r="BER74" s="705"/>
      <c r="BES74" s="799"/>
      <c r="BET74" s="800"/>
      <c r="BEU74" s="800"/>
      <c r="BEV74" s="800"/>
      <c r="BEW74" s="800"/>
      <c r="BEX74" s="800"/>
      <c r="BEY74" s="705"/>
      <c r="BEZ74" s="799"/>
      <c r="BFA74" s="800"/>
      <c r="BFB74" s="800"/>
      <c r="BFC74" s="800"/>
      <c r="BFD74" s="800"/>
      <c r="BFE74" s="800"/>
      <c r="BFF74" s="705"/>
      <c r="BFG74" s="799"/>
      <c r="BFH74" s="800"/>
      <c r="BFI74" s="800"/>
      <c r="BFJ74" s="800"/>
      <c r="BFK74" s="800"/>
      <c r="BFL74" s="800"/>
      <c r="BFM74" s="705"/>
      <c r="BFN74" s="799"/>
      <c r="BFO74" s="800"/>
      <c r="BFP74" s="800"/>
      <c r="BFQ74" s="800"/>
      <c r="BFR74" s="800"/>
      <c r="BFS74" s="800"/>
      <c r="BFT74" s="705"/>
      <c r="BFU74" s="799"/>
      <c r="BFV74" s="800"/>
      <c r="BFW74" s="800"/>
      <c r="BFX74" s="800"/>
      <c r="BFY74" s="800"/>
      <c r="BFZ74" s="800"/>
      <c r="BGA74" s="705"/>
      <c r="BGB74" s="799"/>
      <c r="BGC74" s="800"/>
      <c r="BGD74" s="800"/>
      <c r="BGE74" s="800"/>
      <c r="BGF74" s="800"/>
      <c r="BGG74" s="800"/>
      <c r="BGH74" s="705"/>
      <c r="BGI74" s="799"/>
      <c r="BGJ74" s="800"/>
      <c r="BGK74" s="800"/>
      <c r="BGL74" s="800"/>
      <c r="BGM74" s="800"/>
      <c r="BGN74" s="800"/>
      <c r="BGO74" s="705"/>
      <c r="BGP74" s="799"/>
      <c r="BGQ74" s="800"/>
      <c r="BGR74" s="800"/>
      <c r="BGS74" s="800"/>
      <c r="BGT74" s="800"/>
      <c r="BGU74" s="800"/>
      <c r="BGV74" s="705"/>
      <c r="BGW74" s="799"/>
      <c r="BGX74" s="800"/>
      <c r="BGY74" s="800"/>
      <c r="BGZ74" s="800"/>
      <c r="BHA74" s="800"/>
      <c r="BHB74" s="800"/>
      <c r="BHC74" s="705"/>
      <c r="BHD74" s="799"/>
      <c r="BHE74" s="800"/>
      <c r="BHF74" s="800"/>
      <c r="BHG74" s="800"/>
      <c r="BHH74" s="800"/>
      <c r="BHI74" s="800"/>
      <c r="BHJ74" s="705"/>
      <c r="BHK74" s="799"/>
      <c r="BHL74" s="800"/>
      <c r="BHM74" s="800"/>
      <c r="BHN74" s="800"/>
      <c r="BHO74" s="800"/>
      <c r="BHP74" s="800"/>
      <c r="BHQ74" s="705"/>
      <c r="BHR74" s="799"/>
      <c r="BHS74" s="800"/>
      <c r="BHT74" s="800"/>
      <c r="BHU74" s="800"/>
      <c r="BHV74" s="800"/>
      <c r="BHW74" s="800"/>
      <c r="BHX74" s="705"/>
      <c r="BHY74" s="799"/>
      <c r="BHZ74" s="800"/>
      <c r="BIA74" s="800"/>
      <c r="BIB74" s="800"/>
      <c r="BIC74" s="800"/>
      <c r="BID74" s="800"/>
      <c r="BIE74" s="705"/>
      <c r="BIF74" s="799"/>
      <c r="BIG74" s="800"/>
      <c r="BIH74" s="800"/>
      <c r="BII74" s="800"/>
      <c r="BIJ74" s="800"/>
      <c r="BIK74" s="800"/>
      <c r="BIL74" s="705"/>
      <c r="BIM74" s="799"/>
      <c r="BIN74" s="800"/>
      <c r="BIO74" s="800"/>
      <c r="BIP74" s="800"/>
      <c r="BIQ74" s="800"/>
      <c r="BIR74" s="800"/>
      <c r="BIS74" s="705"/>
      <c r="BIT74" s="799"/>
      <c r="BIU74" s="800"/>
      <c r="BIV74" s="800"/>
      <c r="BIW74" s="800"/>
      <c r="BIX74" s="800"/>
      <c r="BIY74" s="800"/>
      <c r="BIZ74" s="705"/>
      <c r="BJA74" s="799"/>
      <c r="BJB74" s="800"/>
      <c r="BJC74" s="800"/>
      <c r="BJD74" s="800"/>
      <c r="BJE74" s="800"/>
      <c r="BJF74" s="800"/>
      <c r="BJG74" s="705"/>
      <c r="BJH74" s="799"/>
      <c r="BJI74" s="800"/>
      <c r="BJJ74" s="800"/>
      <c r="BJK74" s="800"/>
      <c r="BJL74" s="800"/>
      <c r="BJM74" s="800"/>
      <c r="BJN74" s="705"/>
      <c r="BJO74" s="799"/>
      <c r="BJP74" s="800"/>
      <c r="BJQ74" s="800"/>
      <c r="BJR74" s="800"/>
      <c r="BJS74" s="800"/>
      <c r="BJT74" s="800"/>
      <c r="BJU74" s="705"/>
      <c r="BJV74" s="799"/>
      <c r="BJW74" s="800"/>
      <c r="BJX74" s="800"/>
      <c r="BJY74" s="800"/>
      <c r="BJZ74" s="800"/>
      <c r="BKA74" s="800"/>
      <c r="BKB74" s="705"/>
      <c r="BKC74" s="799"/>
      <c r="BKD74" s="800"/>
      <c r="BKE74" s="800"/>
      <c r="BKF74" s="800"/>
      <c r="BKG74" s="800"/>
      <c r="BKH74" s="800"/>
      <c r="BKI74" s="705"/>
      <c r="BKJ74" s="799"/>
      <c r="BKK74" s="800"/>
      <c r="BKL74" s="800"/>
      <c r="BKM74" s="800"/>
      <c r="BKN74" s="800"/>
      <c r="BKO74" s="800"/>
      <c r="BKP74" s="705"/>
      <c r="BKQ74" s="799"/>
      <c r="BKR74" s="800"/>
      <c r="BKS74" s="800"/>
      <c r="BKT74" s="800"/>
      <c r="BKU74" s="800"/>
      <c r="BKV74" s="800"/>
      <c r="BKW74" s="705"/>
      <c r="BKX74" s="799"/>
      <c r="BKY74" s="800"/>
      <c r="BKZ74" s="800"/>
      <c r="BLA74" s="800"/>
      <c r="BLB74" s="800"/>
      <c r="BLC74" s="800"/>
      <c r="BLD74" s="705"/>
      <c r="BLE74" s="799"/>
      <c r="BLF74" s="800"/>
      <c r="BLG74" s="800"/>
      <c r="BLH74" s="800"/>
      <c r="BLI74" s="800"/>
      <c r="BLJ74" s="800"/>
      <c r="BLK74" s="705"/>
      <c r="BLL74" s="799"/>
      <c r="BLM74" s="800"/>
      <c r="BLN74" s="800"/>
      <c r="BLO74" s="800"/>
      <c r="BLP74" s="800"/>
      <c r="BLQ74" s="800"/>
      <c r="BLR74" s="705"/>
      <c r="BLS74" s="799"/>
      <c r="BLT74" s="800"/>
      <c r="BLU74" s="800"/>
      <c r="BLV74" s="800"/>
      <c r="BLW74" s="800"/>
      <c r="BLX74" s="800"/>
      <c r="BLY74" s="705"/>
      <c r="BLZ74" s="799"/>
      <c r="BMA74" s="800"/>
      <c r="BMB74" s="800"/>
      <c r="BMC74" s="800"/>
      <c r="BMD74" s="800"/>
      <c r="BME74" s="800"/>
      <c r="BMF74" s="705"/>
      <c r="BMG74" s="799"/>
      <c r="BMH74" s="800"/>
      <c r="BMI74" s="800"/>
      <c r="BMJ74" s="800"/>
      <c r="BMK74" s="800"/>
      <c r="BML74" s="800"/>
      <c r="BMM74" s="705"/>
      <c r="BMN74" s="799"/>
      <c r="BMO74" s="800"/>
      <c r="BMP74" s="800"/>
      <c r="BMQ74" s="800"/>
      <c r="BMR74" s="800"/>
      <c r="BMS74" s="800"/>
      <c r="BMT74" s="705"/>
      <c r="BMU74" s="799"/>
      <c r="BMV74" s="800"/>
      <c r="BMW74" s="800"/>
      <c r="BMX74" s="800"/>
      <c r="BMY74" s="800"/>
      <c r="BMZ74" s="800"/>
      <c r="BNA74" s="705"/>
      <c r="BNB74" s="799"/>
      <c r="BNC74" s="800"/>
      <c r="BND74" s="800"/>
      <c r="BNE74" s="800"/>
      <c r="BNF74" s="800"/>
      <c r="BNG74" s="800"/>
      <c r="BNH74" s="705"/>
      <c r="BNI74" s="799"/>
      <c r="BNJ74" s="800"/>
      <c r="BNK74" s="800"/>
      <c r="BNL74" s="800"/>
      <c r="BNM74" s="800"/>
      <c r="BNN74" s="800"/>
      <c r="BNO74" s="705"/>
      <c r="BNP74" s="799"/>
      <c r="BNQ74" s="800"/>
      <c r="BNR74" s="800"/>
      <c r="BNS74" s="800"/>
      <c r="BNT74" s="800"/>
      <c r="BNU74" s="800"/>
      <c r="BNV74" s="705"/>
      <c r="BNW74" s="799"/>
      <c r="BNX74" s="800"/>
      <c r="BNY74" s="800"/>
      <c r="BNZ74" s="800"/>
      <c r="BOA74" s="800"/>
      <c r="BOB74" s="800"/>
      <c r="BOC74" s="705"/>
      <c r="BOD74" s="799"/>
      <c r="BOE74" s="800"/>
      <c r="BOF74" s="800"/>
      <c r="BOG74" s="800"/>
      <c r="BOH74" s="800"/>
      <c r="BOI74" s="800"/>
      <c r="BOJ74" s="705"/>
      <c r="BOK74" s="799"/>
      <c r="BOL74" s="800"/>
      <c r="BOM74" s="800"/>
      <c r="BON74" s="800"/>
      <c r="BOO74" s="800"/>
      <c r="BOP74" s="800"/>
      <c r="BOQ74" s="705"/>
      <c r="BOR74" s="799"/>
      <c r="BOS74" s="800"/>
      <c r="BOT74" s="800"/>
      <c r="BOU74" s="800"/>
      <c r="BOV74" s="800"/>
      <c r="BOW74" s="800"/>
      <c r="BOX74" s="705"/>
      <c r="BOY74" s="799"/>
      <c r="BOZ74" s="800"/>
      <c r="BPA74" s="800"/>
      <c r="BPB74" s="800"/>
      <c r="BPC74" s="800"/>
      <c r="BPD74" s="800"/>
      <c r="BPE74" s="705"/>
      <c r="BPF74" s="799"/>
      <c r="BPG74" s="800"/>
      <c r="BPH74" s="800"/>
      <c r="BPI74" s="800"/>
      <c r="BPJ74" s="800"/>
      <c r="BPK74" s="800"/>
      <c r="BPL74" s="705"/>
      <c r="BPM74" s="799"/>
      <c r="BPN74" s="800"/>
      <c r="BPO74" s="800"/>
      <c r="BPP74" s="800"/>
      <c r="BPQ74" s="800"/>
      <c r="BPR74" s="800"/>
      <c r="BPS74" s="705"/>
      <c r="BPT74" s="799"/>
      <c r="BPU74" s="800"/>
      <c r="BPV74" s="800"/>
      <c r="BPW74" s="800"/>
      <c r="BPX74" s="800"/>
      <c r="BPY74" s="800"/>
      <c r="BPZ74" s="705"/>
      <c r="BQA74" s="799"/>
      <c r="BQB74" s="800"/>
      <c r="BQC74" s="800"/>
      <c r="BQD74" s="800"/>
      <c r="BQE74" s="800"/>
      <c r="BQF74" s="800"/>
      <c r="BQG74" s="705"/>
      <c r="BQH74" s="799"/>
      <c r="BQI74" s="800"/>
      <c r="BQJ74" s="800"/>
      <c r="BQK74" s="800"/>
      <c r="BQL74" s="800"/>
      <c r="BQM74" s="800"/>
      <c r="BQN74" s="705"/>
      <c r="BQO74" s="799"/>
      <c r="BQP74" s="800"/>
      <c r="BQQ74" s="800"/>
      <c r="BQR74" s="800"/>
      <c r="BQS74" s="800"/>
      <c r="BQT74" s="800"/>
      <c r="BQU74" s="705"/>
      <c r="BQV74" s="799"/>
      <c r="BQW74" s="800"/>
      <c r="BQX74" s="800"/>
      <c r="BQY74" s="800"/>
      <c r="BQZ74" s="800"/>
      <c r="BRA74" s="800"/>
      <c r="BRB74" s="705"/>
      <c r="BRC74" s="799"/>
      <c r="BRD74" s="800"/>
      <c r="BRE74" s="800"/>
      <c r="BRF74" s="800"/>
      <c r="BRG74" s="800"/>
      <c r="BRH74" s="800"/>
      <c r="BRI74" s="705"/>
      <c r="BRJ74" s="799"/>
      <c r="BRK74" s="800"/>
      <c r="BRL74" s="800"/>
      <c r="BRM74" s="800"/>
      <c r="BRN74" s="800"/>
      <c r="BRO74" s="800"/>
      <c r="BRP74" s="705"/>
      <c r="BRQ74" s="799"/>
      <c r="BRR74" s="800"/>
      <c r="BRS74" s="800"/>
      <c r="BRT74" s="800"/>
      <c r="BRU74" s="800"/>
      <c r="BRV74" s="800"/>
      <c r="BRW74" s="705"/>
      <c r="BRX74" s="799"/>
      <c r="BRY74" s="800"/>
      <c r="BRZ74" s="800"/>
      <c r="BSA74" s="800"/>
      <c r="BSB74" s="800"/>
      <c r="BSC74" s="800"/>
      <c r="BSD74" s="705"/>
      <c r="BSE74" s="799"/>
      <c r="BSF74" s="800"/>
      <c r="BSG74" s="800"/>
      <c r="BSH74" s="800"/>
      <c r="BSI74" s="800"/>
      <c r="BSJ74" s="800"/>
      <c r="BSK74" s="705"/>
      <c r="BSL74" s="799"/>
      <c r="BSM74" s="800"/>
      <c r="BSN74" s="800"/>
      <c r="BSO74" s="800"/>
      <c r="BSP74" s="800"/>
      <c r="BSQ74" s="800"/>
      <c r="BSR74" s="705"/>
      <c r="BSS74" s="799"/>
      <c r="BST74" s="800"/>
      <c r="BSU74" s="800"/>
      <c r="BSV74" s="800"/>
      <c r="BSW74" s="800"/>
      <c r="BSX74" s="800"/>
      <c r="BSY74" s="705"/>
      <c r="BSZ74" s="799"/>
      <c r="BTA74" s="800"/>
      <c r="BTB74" s="800"/>
      <c r="BTC74" s="800"/>
      <c r="BTD74" s="800"/>
      <c r="BTE74" s="800"/>
      <c r="BTF74" s="705"/>
      <c r="BTG74" s="799"/>
      <c r="BTH74" s="800"/>
      <c r="BTI74" s="800"/>
      <c r="BTJ74" s="800"/>
      <c r="BTK74" s="800"/>
      <c r="BTL74" s="800"/>
      <c r="BTM74" s="705"/>
      <c r="BTN74" s="799"/>
      <c r="BTO74" s="800"/>
      <c r="BTP74" s="800"/>
      <c r="BTQ74" s="800"/>
      <c r="BTR74" s="800"/>
      <c r="BTS74" s="800"/>
      <c r="BTT74" s="705"/>
      <c r="BTU74" s="799"/>
      <c r="BTV74" s="800"/>
      <c r="BTW74" s="800"/>
      <c r="BTX74" s="800"/>
      <c r="BTY74" s="800"/>
      <c r="BTZ74" s="800"/>
      <c r="BUA74" s="705"/>
      <c r="BUB74" s="799"/>
      <c r="BUC74" s="800"/>
      <c r="BUD74" s="800"/>
      <c r="BUE74" s="800"/>
      <c r="BUF74" s="800"/>
      <c r="BUG74" s="800"/>
      <c r="BUH74" s="705"/>
      <c r="BUI74" s="799"/>
      <c r="BUJ74" s="800"/>
      <c r="BUK74" s="800"/>
      <c r="BUL74" s="800"/>
      <c r="BUM74" s="800"/>
      <c r="BUN74" s="800"/>
      <c r="BUO74" s="705"/>
      <c r="BUP74" s="799"/>
      <c r="BUQ74" s="800"/>
      <c r="BUR74" s="800"/>
      <c r="BUS74" s="800"/>
      <c r="BUT74" s="800"/>
      <c r="BUU74" s="800"/>
      <c r="BUV74" s="705"/>
      <c r="BUW74" s="799"/>
      <c r="BUX74" s="800"/>
      <c r="BUY74" s="800"/>
      <c r="BUZ74" s="800"/>
      <c r="BVA74" s="800"/>
      <c r="BVB74" s="800"/>
      <c r="BVC74" s="705"/>
      <c r="BVD74" s="799"/>
      <c r="BVE74" s="800"/>
      <c r="BVF74" s="800"/>
      <c r="BVG74" s="800"/>
      <c r="BVH74" s="800"/>
      <c r="BVI74" s="800"/>
      <c r="BVJ74" s="705"/>
      <c r="BVK74" s="799"/>
      <c r="BVL74" s="800"/>
      <c r="BVM74" s="800"/>
      <c r="BVN74" s="800"/>
      <c r="BVO74" s="800"/>
      <c r="BVP74" s="800"/>
      <c r="BVQ74" s="705"/>
      <c r="BVR74" s="799"/>
      <c r="BVS74" s="800"/>
      <c r="BVT74" s="800"/>
      <c r="BVU74" s="800"/>
      <c r="BVV74" s="800"/>
      <c r="BVW74" s="800"/>
      <c r="BVX74" s="705"/>
      <c r="BVY74" s="799"/>
      <c r="BVZ74" s="800"/>
      <c r="BWA74" s="800"/>
      <c r="BWB74" s="800"/>
      <c r="BWC74" s="800"/>
      <c r="BWD74" s="800"/>
      <c r="BWE74" s="705"/>
      <c r="BWF74" s="799"/>
      <c r="BWG74" s="800"/>
      <c r="BWH74" s="800"/>
      <c r="BWI74" s="800"/>
      <c r="BWJ74" s="800"/>
      <c r="BWK74" s="800"/>
      <c r="BWL74" s="705"/>
      <c r="BWM74" s="799"/>
      <c r="BWN74" s="800"/>
      <c r="BWO74" s="800"/>
      <c r="BWP74" s="800"/>
      <c r="BWQ74" s="800"/>
      <c r="BWR74" s="800"/>
      <c r="BWS74" s="705"/>
      <c r="BWT74" s="799"/>
      <c r="BWU74" s="800"/>
      <c r="BWV74" s="800"/>
      <c r="BWW74" s="800"/>
      <c r="BWX74" s="800"/>
      <c r="BWY74" s="800"/>
      <c r="BWZ74" s="705"/>
      <c r="BXA74" s="799"/>
      <c r="BXB74" s="800"/>
      <c r="BXC74" s="800"/>
      <c r="BXD74" s="800"/>
      <c r="BXE74" s="800"/>
      <c r="BXF74" s="800"/>
      <c r="BXG74" s="705"/>
      <c r="BXH74" s="799"/>
      <c r="BXI74" s="800"/>
      <c r="BXJ74" s="800"/>
      <c r="BXK74" s="800"/>
      <c r="BXL74" s="800"/>
      <c r="BXM74" s="800"/>
      <c r="BXN74" s="705"/>
      <c r="BXO74" s="799"/>
      <c r="BXP74" s="800"/>
      <c r="BXQ74" s="800"/>
      <c r="BXR74" s="800"/>
      <c r="BXS74" s="800"/>
      <c r="BXT74" s="800"/>
      <c r="BXU74" s="705"/>
      <c r="BXV74" s="799"/>
      <c r="BXW74" s="800"/>
      <c r="BXX74" s="800"/>
      <c r="BXY74" s="800"/>
      <c r="BXZ74" s="800"/>
      <c r="BYA74" s="800"/>
      <c r="BYB74" s="705"/>
      <c r="BYC74" s="799"/>
      <c r="BYD74" s="800"/>
      <c r="BYE74" s="800"/>
      <c r="BYF74" s="800"/>
      <c r="BYG74" s="800"/>
      <c r="BYH74" s="800"/>
      <c r="BYI74" s="705"/>
      <c r="BYJ74" s="799"/>
      <c r="BYK74" s="800"/>
      <c r="BYL74" s="800"/>
      <c r="BYM74" s="800"/>
      <c r="BYN74" s="800"/>
      <c r="BYO74" s="800"/>
      <c r="BYP74" s="705"/>
      <c r="BYQ74" s="799"/>
      <c r="BYR74" s="800"/>
      <c r="BYS74" s="800"/>
      <c r="BYT74" s="800"/>
      <c r="BYU74" s="800"/>
      <c r="BYV74" s="800"/>
      <c r="BYW74" s="705"/>
      <c r="BYX74" s="799"/>
      <c r="BYY74" s="800"/>
      <c r="BYZ74" s="800"/>
      <c r="BZA74" s="800"/>
      <c r="BZB74" s="800"/>
      <c r="BZC74" s="800"/>
      <c r="BZD74" s="705"/>
      <c r="BZE74" s="799"/>
      <c r="BZF74" s="800"/>
      <c r="BZG74" s="800"/>
      <c r="BZH74" s="800"/>
      <c r="BZI74" s="800"/>
      <c r="BZJ74" s="800"/>
      <c r="BZK74" s="705"/>
      <c r="BZL74" s="799"/>
      <c r="BZM74" s="800"/>
      <c r="BZN74" s="800"/>
      <c r="BZO74" s="800"/>
      <c r="BZP74" s="800"/>
      <c r="BZQ74" s="800"/>
      <c r="BZR74" s="705"/>
      <c r="BZS74" s="799"/>
      <c r="BZT74" s="800"/>
      <c r="BZU74" s="800"/>
      <c r="BZV74" s="800"/>
      <c r="BZW74" s="800"/>
      <c r="BZX74" s="800"/>
      <c r="BZY74" s="705"/>
      <c r="BZZ74" s="799"/>
      <c r="CAA74" s="800"/>
      <c r="CAB74" s="800"/>
      <c r="CAC74" s="800"/>
      <c r="CAD74" s="800"/>
      <c r="CAE74" s="800"/>
      <c r="CAF74" s="705"/>
      <c r="CAG74" s="799"/>
      <c r="CAH74" s="800"/>
      <c r="CAI74" s="800"/>
      <c r="CAJ74" s="800"/>
      <c r="CAK74" s="800"/>
      <c r="CAL74" s="800"/>
      <c r="CAM74" s="705"/>
      <c r="CAN74" s="799"/>
      <c r="CAO74" s="800"/>
      <c r="CAP74" s="800"/>
      <c r="CAQ74" s="800"/>
      <c r="CAR74" s="800"/>
      <c r="CAS74" s="800"/>
      <c r="CAT74" s="705"/>
      <c r="CAU74" s="799"/>
      <c r="CAV74" s="800"/>
      <c r="CAW74" s="800"/>
      <c r="CAX74" s="800"/>
      <c r="CAY74" s="800"/>
      <c r="CAZ74" s="800"/>
      <c r="CBA74" s="705"/>
      <c r="CBB74" s="799"/>
      <c r="CBC74" s="800"/>
      <c r="CBD74" s="800"/>
      <c r="CBE74" s="800"/>
      <c r="CBF74" s="800"/>
      <c r="CBG74" s="800"/>
      <c r="CBH74" s="705"/>
      <c r="CBI74" s="799"/>
      <c r="CBJ74" s="800"/>
      <c r="CBK74" s="800"/>
      <c r="CBL74" s="800"/>
      <c r="CBM74" s="800"/>
      <c r="CBN74" s="800"/>
      <c r="CBO74" s="705"/>
      <c r="CBP74" s="799"/>
      <c r="CBQ74" s="800"/>
      <c r="CBR74" s="800"/>
      <c r="CBS74" s="800"/>
      <c r="CBT74" s="800"/>
      <c r="CBU74" s="800"/>
      <c r="CBV74" s="705"/>
      <c r="CBW74" s="799"/>
      <c r="CBX74" s="800"/>
      <c r="CBY74" s="800"/>
      <c r="CBZ74" s="800"/>
      <c r="CCA74" s="800"/>
      <c r="CCB74" s="800"/>
      <c r="CCC74" s="705"/>
      <c r="CCD74" s="799"/>
      <c r="CCE74" s="800"/>
      <c r="CCF74" s="800"/>
      <c r="CCG74" s="800"/>
      <c r="CCH74" s="800"/>
      <c r="CCI74" s="800"/>
      <c r="CCJ74" s="705"/>
      <c r="CCK74" s="799"/>
      <c r="CCL74" s="800"/>
      <c r="CCM74" s="800"/>
      <c r="CCN74" s="800"/>
      <c r="CCO74" s="800"/>
      <c r="CCP74" s="800"/>
      <c r="CCQ74" s="705"/>
      <c r="CCR74" s="799"/>
      <c r="CCS74" s="800"/>
      <c r="CCT74" s="800"/>
      <c r="CCU74" s="800"/>
      <c r="CCV74" s="800"/>
      <c r="CCW74" s="800"/>
      <c r="CCX74" s="705"/>
      <c r="CCY74" s="799"/>
      <c r="CCZ74" s="800"/>
      <c r="CDA74" s="800"/>
      <c r="CDB74" s="800"/>
      <c r="CDC74" s="800"/>
      <c r="CDD74" s="800"/>
      <c r="CDE74" s="705"/>
      <c r="CDF74" s="799"/>
      <c r="CDG74" s="800"/>
      <c r="CDH74" s="800"/>
      <c r="CDI74" s="800"/>
      <c r="CDJ74" s="800"/>
      <c r="CDK74" s="800"/>
      <c r="CDL74" s="705"/>
      <c r="CDM74" s="799"/>
      <c r="CDN74" s="800"/>
      <c r="CDO74" s="800"/>
      <c r="CDP74" s="800"/>
      <c r="CDQ74" s="800"/>
      <c r="CDR74" s="800"/>
      <c r="CDS74" s="705"/>
      <c r="CDT74" s="799"/>
      <c r="CDU74" s="800"/>
      <c r="CDV74" s="800"/>
      <c r="CDW74" s="800"/>
      <c r="CDX74" s="800"/>
      <c r="CDY74" s="800"/>
      <c r="CDZ74" s="705"/>
      <c r="CEA74" s="799"/>
      <c r="CEB74" s="800"/>
      <c r="CEC74" s="800"/>
      <c r="CED74" s="800"/>
      <c r="CEE74" s="800"/>
      <c r="CEF74" s="800"/>
      <c r="CEG74" s="705"/>
      <c r="CEH74" s="799"/>
      <c r="CEI74" s="800"/>
      <c r="CEJ74" s="800"/>
      <c r="CEK74" s="800"/>
      <c r="CEL74" s="800"/>
      <c r="CEM74" s="800"/>
      <c r="CEN74" s="705"/>
      <c r="CEO74" s="799"/>
      <c r="CEP74" s="800"/>
      <c r="CEQ74" s="800"/>
      <c r="CER74" s="800"/>
      <c r="CES74" s="800"/>
      <c r="CET74" s="800"/>
      <c r="CEU74" s="705"/>
      <c r="CEV74" s="799"/>
      <c r="CEW74" s="800"/>
      <c r="CEX74" s="800"/>
      <c r="CEY74" s="800"/>
      <c r="CEZ74" s="800"/>
      <c r="CFA74" s="800"/>
      <c r="CFB74" s="705"/>
      <c r="CFC74" s="799"/>
      <c r="CFD74" s="800"/>
      <c r="CFE74" s="800"/>
      <c r="CFF74" s="800"/>
      <c r="CFG74" s="800"/>
      <c r="CFH74" s="800"/>
      <c r="CFI74" s="705"/>
      <c r="CFJ74" s="799"/>
      <c r="CFK74" s="800"/>
      <c r="CFL74" s="800"/>
      <c r="CFM74" s="800"/>
      <c r="CFN74" s="800"/>
      <c r="CFO74" s="800"/>
      <c r="CFP74" s="705"/>
      <c r="CFQ74" s="799"/>
      <c r="CFR74" s="800"/>
      <c r="CFS74" s="800"/>
      <c r="CFT74" s="800"/>
      <c r="CFU74" s="800"/>
      <c r="CFV74" s="800"/>
      <c r="CFW74" s="705"/>
      <c r="CFX74" s="799"/>
      <c r="CFY74" s="800"/>
      <c r="CFZ74" s="800"/>
      <c r="CGA74" s="800"/>
      <c r="CGB74" s="800"/>
      <c r="CGC74" s="800"/>
      <c r="CGD74" s="705"/>
      <c r="CGE74" s="799"/>
      <c r="CGF74" s="800"/>
      <c r="CGG74" s="800"/>
      <c r="CGH74" s="800"/>
      <c r="CGI74" s="800"/>
      <c r="CGJ74" s="800"/>
      <c r="CGK74" s="705"/>
      <c r="CGL74" s="799"/>
      <c r="CGM74" s="800"/>
      <c r="CGN74" s="800"/>
      <c r="CGO74" s="800"/>
      <c r="CGP74" s="800"/>
      <c r="CGQ74" s="800"/>
      <c r="CGR74" s="705"/>
      <c r="CGS74" s="799"/>
      <c r="CGT74" s="800"/>
      <c r="CGU74" s="800"/>
      <c r="CGV74" s="800"/>
      <c r="CGW74" s="800"/>
      <c r="CGX74" s="800"/>
      <c r="CGY74" s="705"/>
      <c r="CGZ74" s="799"/>
      <c r="CHA74" s="800"/>
      <c r="CHB74" s="800"/>
      <c r="CHC74" s="800"/>
      <c r="CHD74" s="800"/>
      <c r="CHE74" s="800"/>
      <c r="CHF74" s="705"/>
      <c r="CHG74" s="799"/>
      <c r="CHH74" s="800"/>
      <c r="CHI74" s="800"/>
      <c r="CHJ74" s="800"/>
      <c r="CHK74" s="800"/>
      <c r="CHL74" s="800"/>
      <c r="CHM74" s="705"/>
      <c r="CHN74" s="799"/>
      <c r="CHO74" s="800"/>
      <c r="CHP74" s="800"/>
      <c r="CHQ74" s="800"/>
      <c r="CHR74" s="800"/>
      <c r="CHS74" s="800"/>
      <c r="CHT74" s="705"/>
      <c r="CHU74" s="799"/>
      <c r="CHV74" s="800"/>
      <c r="CHW74" s="800"/>
      <c r="CHX74" s="800"/>
      <c r="CHY74" s="800"/>
      <c r="CHZ74" s="800"/>
      <c r="CIA74" s="705"/>
      <c r="CIB74" s="799"/>
      <c r="CIC74" s="800"/>
      <c r="CID74" s="800"/>
      <c r="CIE74" s="800"/>
      <c r="CIF74" s="800"/>
      <c r="CIG74" s="800"/>
      <c r="CIH74" s="705"/>
      <c r="CII74" s="799"/>
      <c r="CIJ74" s="800"/>
      <c r="CIK74" s="800"/>
      <c r="CIL74" s="800"/>
      <c r="CIM74" s="800"/>
      <c r="CIN74" s="800"/>
      <c r="CIO74" s="705"/>
      <c r="CIP74" s="799"/>
      <c r="CIQ74" s="800"/>
      <c r="CIR74" s="800"/>
      <c r="CIS74" s="800"/>
      <c r="CIT74" s="800"/>
      <c r="CIU74" s="800"/>
      <c r="CIV74" s="705"/>
      <c r="CIW74" s="799"/>
      <c r="CIX74" s="800"/>
      <c r="CIY74" s="800"/>
      <c r="CIZ74" s="800"/>
      <c r="CJA74" s="800"/>
      <c r="CJB74" s="800"/>
      <c r="CJC74" s="705"/>
      <c r="CJD74" s="799"/>
      <c r="CJE74" s="800"/>
      <c r="CJF74" s="800"/>
      <c r="CJG74" s="800"/>
      <c r="CJH74" s="800"/>
      <c r="CJI74" s="800"/>
      <c r="CJJ74" s="705"/>
      <c r="CJK74" s="799"/>
      <c r="CJL74" s="800"/>
      <c r="CJM74" s="800"/>
      <c r="CJN74" s="800"/>
      <c r="CJO74" s="800"/>
      <c r="CJP74" s="800"/>
      <c r="CJQ74" s="705"/>
      <c r="CJR74" s="799"/>
      <c r="CJS74" s="800"/>
      <c r="CJT74" s="800"/>
      <c r="CJU74" s="800"/>
      <c r="CJV74" s="800"/>
      <c r="CJW74" s="800"/>
      <c r="CJX74" s="705"/>
      <c r="CJY74" s="799"/>
      <c r="CJZ74" s="800"/>
      <c r="CKA74" s="800"/>
      <c r="CKB74" s="800"/>
      <c r="CKC74" s="800"/>
      <c r="CKD74" s="800"/>
      <c r="CKE74" s="705"/>
      <c r="CKF74" s="799"/>
      <c r="CKG74" s="800"/>
      <c r="CKH74" s="800"/>
      <c r="CKI74" s="800"/>
      <c r="CKJ74" s="800"/>
      <c r="CKK74" s="800"/>
      <c r="CKL74" s="705"/>
      <c r="CKM74" s="799"/>
      <c r="CKN74" s="800"/>
      <c r="CKO74" s="800"/>
      <c r="CKP74" s="800"/>
      <c r="CKQ74" s="800"/>
      <c r="CKR74" s="800"/>
      <c r="CKS74" s="705"/>
      <c r="CKT74" s="799"/>
      <c r="CKU74" s="800"/>
      <c r="CKV74" s="800"/>
      <c r="CKW74" s="800"/>
      <c r="CKX74" s="800"/>
      <c r="CKY74" s="800"/>
      <c r="CKZ74" s="705"/>
      <c r="CLA74" s="799"/>
      <c r="CLB74" s="800"/>
      <c r="CLC74" s="800"/>
      <c r="CLD74" s="800"/>
      <c r="CLE74" s="800"/>
      <c r="CLF74" s="800"/>
      <c r="CLG74" s="705"/>
      <c r="CLH74" s="799"/>
      <c r="CLI74" s="800"/>
      <c r="CLJ74" s="800"/>
      <c r="CLK74" s="800"/>
      <c r="CLL74" s="800"/>
      <c r="CLM74" s="800"/>
      <c r="CLN74" s="705"/>
      <c r="CLO74" s="799"/>
      <c r="CLP74" s="800"/>
      <c r="CLQ74" s="800"/>
      <c r="CLR74" s="800"/>
      <c r="CLS74" s="800"/>
      <c r="CLT74" s="800"/>
      <c r="CLU74" s="705"/>
      <c r="CLV74" s="799"/>
      <c r="CLW74" s="800"/>
      <c r="CLX74" s="800"/>
      <c r="CLY74" s="800"/>
      <c r="CLZ74" s="800"/>
      <c r="CMA74" s="800"/>
      <c r="CMB74" s="705"/>
      <c r="CMC74" s="799"/>
      <c r="CMD74" s="800"/>
      <c r="CME74" s="800"/>
      <c r="CMF74" s="800"/>
      <c r="CMG74" s="800"/>
      <c r="CMH74" s="800"/>
      <c r="CMI74" s="705"/>
      <c r="CMJ74" s="799"/>
      <c r="CMK74" s="800"/>
      <c r="CML74" s="800"/>
      <c r="CMM74" s="800"/>
      <c r="CMN74" s="800"/>
      <c r="CMO74" s="800"/>
      <c r="CMP74" s="705"/>
      <c r="CMQ74" s="799"/>
      <c r="CMR74" s="800"/>
      <c r="CMS74" s="800"/>
      <c r="CMT74" s="800"/>
      <c r="CMU74" s="800"/>
      <c r="CMV74" s="800"/>
      <c r="CMW74" s="705"/>
      <c r="CMX74" s="799"/>
      <c r="CMY74" s="800"/>
      <c r="CMZ74" s="800"/>
      <c r="CNA74" s="800"/>
      <c r="CNB74" s="800"/>
      <c r="CNC74" s="800"/>
      <c r="CND74" s="705"/>
      <c r="CNE74" s="799"/>
      <c r="CNF74" s="800"/>
      <c r="CNG74" s="800"/>
      <c r="CNH74" s="800"/>
      <c r="CNI74" s="800"/>
      <c r="CNJ74" s="800"/>
      <c r="CNK74" s="705"/>
      <c r="CNL74" s="799"/>
      <c r="CNM74" s="800"/>
      <c r="CNN74" s="800"/>
      <c r="CNO74" s="800"/>
      <c r="CNP74" s="800"/>
      <c r="CNQ74" s="800"/>
      <c r="CNR74" s="705"/>
      <c r="CNS74" s="799"/>
      <c r="CNT74" s="800"/>
      <c r="CNU74" s="800"/>
      <c r="CNV74" s="800"/>
      <c r="CNW74" s="800"/>
      <c r="CNX74" s="800"/>
      <c r="CNY74" s="705"/>
      <c r="CNZ74" s="799"/>
      <c r="COA74" s="800"/>
      <c r="COB74" s="800"/>
      <c r="COC74" s="800"/>
      <c r="COD74" s="800"/>
      <c r="COE74" s="800"/>
      <c r="COF74" s="705"/>
      <c r="COG74" s="799"/>
      <c r="COH74" s="800"/>
      <c r="COI74" s="800"/>
      <c r="COJ74" s="800"/>
      <c r="COK74" s="800"/>
      <c r="COL74" s="800"/>
      <c r="COM74" s="705"/>
      <c r="CON74" s="799"/>
      <c r="COO74" s="800"/>
      <c r="COP74" s="800"/>
      <c r="COQ74" s="800"/>
      <c r="COR74" s="800"/>
      <c r="COS74" s="800"/>
      <c r="COT74" s="705"/>
      <c r="COU74" s="799"/>
      <c r="COV74" s="800"/>
      <c r="COW74" s="800"/>
      <c r="COX74" s="800"/>
      <c r="COY74" s="800"/>
      <c r="COZ74" s="800"/>
      <c r="CPA74" s="705"/>
      <c r="CPB74" s="799"/>
      <c r="CPC74" s="800"/>
      <c r="CPD74" s="800"/>
      <c r="CPE74" s="800"/>
      <c r="CPF74" s="800"/>
      <c r="CPG74" s="800"/>
      <c r="CPH74" s="705"/>
      <c r="CPI74" s="799"/>
      <c r="CPJ74" s="800"/>
      <c r="CPK74" s="800"/>
      <c r="CPL74" s="800"/>
      <c r="CPM74" s="800"/>
      <c r="CPN74" s="800"/>
      <c r="CPO74" s="705"/>
      <c r="CPP74" s="799"/>
      <c r="CPQ74" s="800"/>
      <c r="CPR74" s="800"/>
      <c r="CPS74" s="800"/>
      <c r="CPT74" s="800"/>
      <c r="CPU74" s="800"/>
      <c r="CPV74" s="705"/>
      <c r="CPW74" s="799"/>
      <c r="CPX74" s="800"/>
      <c r="CPY74" s="800"/>
      <c r="CPZ74" s="800"/>
      <c r="CQA74" s="800"/>
      <c r="CQB74" s="800"/>
      <c r="CQC74" s="705"/>
      <c r="CQD74" s="799"/>
      <c r="CQE74" s="800"/>
      <c r="CQF74" s="800"/>
      <c r="CQG74" s="800"/>
      <c r="CQH74" s="800"/>
      <c r="CQI74" s="800"/>
      <c r="CQJ74" s="705"/>
      <c r="CQK74" s="799"/>
      <c r="CQL74" s="800"/>
      <c r="CQM74" s="800"/>
      <c r="CQN74" s="800"/>
      <c r="CQO74" s="800"/>
      <c r="CQP74" s="800"/>
      <c r="CQQ74" s="705"/>
      <c r="CQR74" s="799"/>
      <c r="CQS74" s="800"/>
      <c r="CQT74" s="800"/>
      <c r="CQU74" s="800"/>
      <c r="CQV74" s="800"/>
      <c r="CQW74" s="800"/>
      <c r="CQX74" s="705"/>
      <c r="CQY74" s="799"/>
      <c r="CQZ74" s="800"/>
      <c r="CRA74" s="800"/>
      <c r="CRB74" s="800"/>
      <c r="CRC74" s="800"/>
      <c r="CRD74" s="800"/>
      <c r="CRE74" s="705"/>
      <c r="CRF74" s="799"/>
      <c r="CRG74" s="800"/>
      <c r="CRH74" s="800"/>
      <c r="CRI74" s="800"/>
      <c r="CRJ74" s="800"/>
      <c r="CRK74" s="800"/>
      <c r="CRL74" s="705"/>
      <c r="CRM74" s="799"/>
      <c r="CRN74" s="800"/>
      <c r="CRO74" s="800"/>
      <c r="CRP74" s="800"/>
      <c r="CRQ74" s="800"/>
      <c r="CRR74" s="800"/>
      <c r="CRS74" s="705"/>
      <c r="CRT74" s="799"/>
      <c r="CRU74" s="800"/>
      <c r="CRV74" s="800"/>
      <c r="CRW74" s="800"/>
      <c r="CRX74" s="800"/>
      <c r="CRY74" s="800"/>
      <c r="CRZ74" s="705"/>
      <c r="CSA74" s="799"/>
      <c r="CSB74" s="800"/>
      <c r="CSC74" s="800"/>
      <c r="CSD74" s="800"/>
      <c r="CSE74" s="800"/>
      <c r="CSF74" s="800"/>
      <c r="CSG74" s="705"/>
      <c r="CSH74" s="799"/>
      <c r="CSI74" s="800"/>
      <c r="CSJ74" s="800"/>
      <c r="CSK74" s="800"/>
      <c r="CSL74" s="800"/>
      <c r="CSM74" s="800"/>
      <c r="CSN74" s="705"/>
      <c r="CSO74" s="799"/>
      <c r="CSP74" s="800"/>
      <c r="CSQ74" s="800"/>
      <c r="CSR74" s="800"/>
      <c r="CSS74" s="800"/>
      <c r="CST74" s="800"/>
      <c r="CSU74" s="705"/>
      <c r="CSV74" s="799"/>
      <c r="CSW74" s="800"/>
      <c r="CSX74" s="800"/>
      <c r="CSY74" s="800"/>
      <c r="CSZ74" s="800"/>
      <c r="CTA74" s="800"/>
      <c r="CTB74" s="705"/>
      <c r="CTC74" s="799"/>
      <c r="CTD74" s="800"/>
      <c r="CTE74" s="800"/>
      <c r="CTF74" s="800"/>
      <c r="CTG74" s="800"/>
      <c r="CTH74" s="800"/>
      <c r="CTI74" s="705"/>
      <c r="CTJ74" s="799"/>
      <c r="CTK74" s="800"/>
      <c r="CTL74" s="800"/>
      <c r="CTM74" s="800"/>
      <c r="CTN74" s="800"/>
      <c r="CTO74" s="800"/>
      <c r="CTP74" s="705"/>
      <c r="CTQ74" s="799"/>
      <c r="CTR74" s="800"/>
      <c r="CTS74" s="800"/>
      <c r="CTT74" s="800"/>
      <c r="CTU74" s="800"/>
      <c r="CTV74" s="800"/>
      <c r="CTW74" s="705"/>
      <c r="CTX74" s="799"/>
      <c r="CTY74" s="800"/>
      <c r="CTZ74" s="800"/>
      <c r="CUA74" s="800"/>
      <c r="CUB74" s="800"/>
      <c r="CUC74" s="800"/>
      <c r="CUD74" s="705"/>
      <c r="CUE74" s="799"/>
      <c r="CUF74" s="800"/>
      <c r="CUG74" s="800"/>
      <c r="CUH74" s="800"/>
      <c r="CUI74" s="800"/>
      <c r="CUJ74" s="800"/>
      <c r="CUK74" s="705"/>
      <c r="CUL74" s="799"/>
      <c r="CUM74" s="800"/>
      <c r="CUN74" s="800"/>
      <c r="CUO74" s="800"/>
      <c r="CUP74" s="800"/>
      <c r="CUQ74" s="800"/>
      <c r="CUR74" s="705"/>
      <c r="CUS74" s="799"/>
      <c r="CUT74" s="800"/>
      <c r="CUU74" s="800"/>
      <c r="CUV74" s="800"/>
      <c r="CUW74" s="800"/>
      <c r="CUX74" s="800"/>
      <c r="CUY74" s="705"/>
      <c r="CUZ74" s="799"/>
      <c r="CVA74" s="800"/>
      <c r="CVB74" s="800"/>
      <c r="CVC74" s="800"/>
      <c r="CVD74" s="800"/>
      <c r="CVE74" s="800"/>
      <c r="CVF74" s="705"/>
      <c r="CVG74" s="799"/>
      <c r="CVH74" s="800"/>
      <c r="CVI74" s="800"/>
      <c r="CVJ74" s="800"/>
      <c r="CVK74" s="800"/>
      <c r="CVL74" s="800"/>
      <c r="CVM74" s="705"/>
      <c r="CVN74" s="799"/>
      <c r="CVO74" s="800"/>
      <c r="CVP74" s="800"/>
      <c r="CVQ74" s="800"/>
      <c r="CVR74" s="800"/>
      <c r="CVS74" s="800"/>
      <c r="CVT74" s="705"/>
      <c r="CVU74" s="799"/>
      <c r="CVV74" s="800"/>
      <c r="CVW74" s="800"/>
      <c r="CVX74" s="800"/>
      <c r="CVY74" s="800"/>
      <c r="CVZ74" s="800"/>
      <c r="CWA74" s="705"/>
      <c r="CWB74" s="799"/>
      <c r="CWC74" s="800"/>
      <c r="CWD74" s="800"/>
      <c r="CWE74" s="800"/>
      <c r="CWF74" s="800"/>
      <c r="CWG74" s="800"/>
      <c r="CWH74" s="705"/>
      <c r="CWI74" s="799"/>
      <c r="CWJ74" s="800"/>
      <c r="CWK74" s="800"/>
      <c r="CWL74" s="800"/>
      <c r="CWM74" s="800"/>
      <c r="CWN74" s="800"/>
      <c r="CWO74" s="705"/>
      <c r="CWP74" s="799"/>
      <c r="CWQ74" s="800"/>
      <c r="CWR74" s="800"/>
      <c r="CWS74" s="800"/>
      <c r="CWT74" s="800"/>
      <c r="CWU74" s="800"/>
      <c r="CWV74" s="705"/>
      <c r="CWW74" s="799"/>
      <c r="CWX74" s="800"/>
      <c r="CWY74" s="800"/>
      <c r="CWZ74" s="800"/>
      <c r="CXA74" s="800"/>
      <c r="CXB74" s="800"/>
      <c r="CXC74" s="705"/>
      <c r="CXD74" s="799"/>
      <c r="CXE74" s="800"/>
      <c r="CXF74" s="800"/>
      <c r="CXG74" s="800"/>
      <c r="CXH74" s="800"/>
      <c r="CXI74" s="800"/>
      <c r="CXJ74" s="705"/>
      <c r="CXK74" s="799"/>
      <c r="CXL74" s="800"/>
      <c r="CXM74" s="800"/>
      <c r="CXN74" s="800"/>
      <c r="CXO74" s="800"/>
      <c r="CXP74" s="800"/>
      <c r="CXQ74" s="705"/>
      <c r="CXR74" s="799"/>
      <c r="CXS74" s="800"/>
      <c r="CXT74" s="800"/>
      <c r="CXU74" s="800"/>
      <c r="CXV74" s="800"/>
      <c r="CXW74" s="800"/>
      <c r="CXX74" s="705"/>
      <c r="CXY74" s="799"/>
      <c r="CXZ74" s="800"/>
      <c r="CYA74" s="800"/>
      <c r="CYB74" s="800"/>
      <c r="CYC74" s="800"/>
      <c r="CYD74" s="800"/>
      <c r="CYE74" s="705"/>
      <c r="CYF74" s="799"/>
      <c r="CYG74" s="800"/>
      <c r="CYH74" s="800"/>
      <c r="CYI74" s="800"/>
      <c r="CYJ74" s="800"/>
      <c r="CYK74" s="800"/>
      <c r="CYL74" s="705"/>
      <c r="CYM74" s="799"/>
      <c r="CYN74" s="800"/>
      <c r="CYO74" s="800"/>
      <c r="CYP74" s="800"/>
      <c r="CYQ74" s="800"/>
      <c r="CYR74" s="800"/>
      <c r="CYS74" s="705"/>
      <c r="CYT74" s="799"/>
      <c r="CYU74" s="800"/>
      <c r="CYV74" s="800"/>
      <c r="CYW74" s="800"/>
      <c r="CYX74" s="800"/>
      <c r="CYY74" s="800"/>
      <c r="CYZ74" s="705"/>
      <c r="CZA74" s="799"/>
      <c r="CZB74" s="800"/>
      <c r="CZC74" s="800"/>
      <c r="CZD74" s="800"/>
      <c r="CZE74" s="800"/>
      <c r="CZF74" s="800"/>
      <c r="CZG74" s="705"/>
      <c r="CZH74" s="799"/>
      <c r="CZI74" s="800"/>
      <c r="CZJ74" s="800"/>
      <c r="CZK74" s="800"/>
      <c r="CZL74" s="800"/>
      <c r="CZM74" s="800"/>
      <c r="CZN74" s="705"/>
      <c r="CZO74" s="799"/>
      <c r="CZP74" s="800"/>
      <c r="CZQ74" s="800"/>
      <c r="CZR74" s="800"/>
      <c r="CZS74" s="800"/>
      <c r="CZT74" s="800"/>
      <c r="CZU74" s="705"/>
      <c r="CZV74" s="799"/>
      <c r="CZW74" s="800"/>
      <c r="CZX74" s="800"/>
      <c r="CZY74" s="800"/>
      <c r="CZZ74" s="800"/>
      <c r="DAA74" s="800"/>
      <c r="DAB74" s="705"/>
      <c r="DAC74" s="799"/>
      <c r="DAD74" s="800"/>
      <c r="DAE74" s="800"/>
      <c r="DAF74" s="800"/>
      <c r="DAG74" s="800"/>
      <c r="DAH74" s="800"/>
      <c r="DAI74" s="705"/>
      <c r="DAJ74" s="799"/>
      <c r="DAK74" s="800"/>
      <c r="DAL74" s="800"/>
      <c r="DAM74" s="800"/>
      <c r="DAN74" s="800"/>
      <c r="DAO74" s="800"/>
      <c r="DAP74" s="705"/>
      <c r="DAQ74" s="799"/>
      <c r="DAR74" s="800"/>
      <c r="DAS74" s="800"/>
      <c r="DAT74" s="800"/>
      <c r="DAU74" s="800"/>
      <c r="DAV74" s="800"/>
      <c r="DAW74" s="705"/>
      <c r="DAX74" s="799"/>
      <c r="DAY74" s="800"/>
      <c r="DAZ74" s="800"/>
      <c r="DBA74" s="800"/>
      <c r="DBB74" s="800"/>
      <c r="DBC74" s="800"/>
      <c r="DBD74" s="705"/>
      <c r="DBE74" s="799"/>
      <c r="DBF74" s="800"/>
      <c r="DBG74" s="800"/>
      <c r="DBH74" s="800"/>
      <c r="DBI74" s="800"/>
      <c r="DBJ74" s="800"/>
      <c r="DBK74" s="705"/>
      <c r="DBL74" s="799"/>
      <c r="DBM74" s="800"/>
      <c r="DBN74" s="800"/>
      <c r="DBO74" s="800"/>
      <c r="DBP74" s="800"/>
      <c r="DBQ74" s="800"/>
      <c r="DBR74" s="705"/>
      <c r="DBS74" s="799"/>
      <c r="DBT74" s="800"/>
      <c r="DBU74" s="800"/>
      <c r="DBV74" s="800"/>
      <c r="DBW74" s="800"/>
      <c r="DBX74" s="800"/>
      <c r="DBY74" s="705"/>
      <c r="DBZ74" s="799"/>
      <c r="DCA74" s="800"/>
      <c r="DCB74" s="800"/>
      <c r="DCC74" s="800"/>
      <c r="DCD74" s="800"/>
      <c r="DCE74" s="800"/>
      <c r="DCF74" s="705"/>
      <c r="DCG74" s="799"/>
      <c r="DCH74" s="800"/>
      <c r="DCI74" s="800"/>
      <c r="DCJ74" s="800"/>
      <c r="DCK74" s="800"/>
      <c r="DCL74" s="800"/>
      <c r="DCM74" s="705"/>
      <c r="DCN74" s="799"/>
      <c r="DCO74" s="800"/>
      <c r="DCP74" s="800"/>
      <c r="DCQ74" s="800"/>
      <c r="DCR74" s="800"/>
      <c r="DCS74" s="800"/>
      <c r="DCT74" s="705"/>
      <c r="DCU74" s="799"/>
      <c r="DCV74" s="800"/>
      <c r="DCW74" s="800"/>
      <c r="DCX74" s="800"/>
      <c r="DCY74" s="800"/>
      <c r="DCZ74" s="800"/>
      <c r="DDA74" s="705"/>
      <c r="DDB74" s="799"/>
      <c r="DDC74" s="800"/>
      <c r="DDD74" s="800"/>
      <c r="DDE74" s="800"/>
      <c r="DDF74" s="800"/>
      <c r="DDG74" s="800"/>
      <c r="DDH74" s="705"/>
      <c r="DDI74" s="799"/>
      <c r="DDJ74" s="800"/>
      <c r="DDK74" s="800"/>
      <c r="DDL74" s="800"/>
      <c r="DDM74" s="800"/>
      <c r="DDN74" s="800"/>
      <c r="DDO74" s="705"/>
      <c r="DDP74" s="799"/>
      <c r="DDQ74" s="800"/>
      <c r="DDR74" s="800"/>
      <c r="DDS74" s="800"/>
      <c r="DDT74" s="800"/>
      <c r="DDU74" s="800"/>
      <c r="DDV74" s="705"/>
      <c r="DDW74" s="799"/>
      <c r="DDX74" s="800"/>
      <c r="DDY74" s="800"/>
      <c r="DDZ74" s="800"/>
      <c r="DEA74" s="800"/>
      <c r="DEB74" s="800"/>
      <c r="DEC74" s="705"/>
      <c r="DED74" s="799"/>
      <c r="DEE74" s="800"/>
      <c r="DEF74" s="800"/>
      <c r="DEG74" s="800"/>
      <c r="DEH74" s="800"/>
      <c r="DEI74" s="800"/>
      <c r="DEJ74" s="705"/>
      <c r="DEK74" s="799"/>
      <c r="DEL74" s="800"/>
      <c r="DEM74" s="800"/>
      <c r="DEN74" s="800"/>
      <c r="DEO74" s="800"/>
      <c r="DEP74" s="800"/>
      <c r="DEQ74" s="705"/>
      <c r="DER74" s="799"/>
      <c r="DES74" s="800"/>
      <c r="DET74" s="800"/>
      <c r="DEU74" s="800"/>
      <c r="DEV74" s="800"/>
      <c r="DEW74" s="800"/>
      <c r="DEX74" s="705"/>
      <c r="DEY74" s="799"/>
      <c r="DEZ74" s="800"/>
      <c r="DFA74" s="800"/>
      <c r="DFB74" s="800"/>
      <c r="DFC74" s="800"/>
      <c r="DFD74" s="800"/>
      <c r="DFE74" s="705"/>
      <c r="DFF74" s="799"/>
      <c r="DFG74" s="800"/>
      <c r="DFH74" s="800"/>
      <c r="DFI74" s="800"/>
      <c r="DFJ74" s="800"/>
      <c r="DFK74" s="800"/>
      <c r="DFL74" s="705"/>
      <c r="DFM74" s="799"/>
      <c r="DFN74" s="800"/>
      <c r="DFO74" s="800"/>
      <c r="DFP74" s="800"/>
      <c r="DFQ74" s="800"/>
      <c r="DFR74" s="800"/>
      <c r="DFS74" s="705"/>
      <c r="DFT74" s="799"/>
      <c r="DFU74" s="800"/>
      <c r="DFV74" s="800"/>
      <c r="DFW74" s="800"/>
      <c r="DFX74" s="800"/>
      <c r="DFY74" s="800"/>
      <c r="DFZ74" s="705"/>
      <c r="DGA74" s="799"/>
      <c r="DGB74" s="800"/>
      <c r="DGC74" s="800"/>
      <c r="DGD74" s="800"/>
      <c r="DGE74" s="800"/>
      <c r="DGF74" s="800"/>
      <c r="DGG74" s="705"/>
      <c r="DGH74" s="799"/>
      <c r="DGI74" s="800"/>
      <c r="DGJ74" s="800"/>
      <c r="DGK74" s="800"/>
      <c r="DGL74" s="800"/>
      <c r="DGM74" s="800"/>
      <c r="DGN74" s="705"/>
      <c r="DGO74" s="799"/>
      <c r="DGP74" s="800"/>
      <c r="DGQ74" s="800"/>
      <c r="DGR74" s="800"/>
      <c r="DGS74" s="800"/>
      <c r="DGT74" s="800"/>
      <c r="DGU74" s="705"/>
      <c r="DGV74" s="799"/>
      <c r="DGW74" s="800"/>
      <c r="DGX74" s="800"/>
      <c r="DGY74" s="800"/>
      <c r="DGZ74" s="800"/>
      <c r="DHA74" s="800"/>
      <c r="DHB74" s="705"/>
      <c r="DHC74" s="799"/>
      <c r="DHD74" s="800"/>
      <c r="DHE74" s="800"/>
      <c r="DHF74" s="800"/>
      <c r="DHG74" s="800"/>
      <c r="DHH74" s="800"/>
      <c r="DHI74" s="705"/>
      <c r="DHJ74" s="799"/>
      <c r="DHK74" s="800"/>
      <c r="DHL74" s="800"/>
      <c r="DHM74" s="800"/>
      <c r="DHN74" s="800"/>
      <c r="DHO74" s="800"/>
      <c r="DHP74" s="705"/>
      <c r="DHQ74" s="799"/>
      <c r="DHR74" s="800"/>
      <c r="DHS74" s="800"/>
      <c r="DHT74" s="800"/>
      <c r="DHU74" s="800"/>
      <c r="DHV74" s="800"/>
      <c r="DHW74" s="705"/>
      <c r="DHX74" s="799"/>
      <c r="DHY74" s="800"/>
      <c r="DHZ74" s="800"/>
      <c r="DIA74" s="800"/>
      <c r="DIB74" s="800"/>
      <c r="DIC74" s="800"/>
      <c r="DID74" s="705"/>
      <c r="DIE74" s="799"/>
      <c r="DIF74" s="800"/>
      <c r="DIG74" s="800"/>
      <c r="DIH74" s="800"/>
      <c r="DII74" s="800"/>
      <c r="DIJ74" s="800"/>
      <c r="DIK74" s="705"/>
      <c r="DIL74" s="799"/>
      <c r="DIM74" s="800"/>
      <c r="DIN74" s="800"/>
      <c r="DIO74" s="800"/>
      <c r="DIP74" s="800"/>
      <c r="DIQ74" s="800"/>
      <c r="DIR74" s="705"/>
      <c r="DIS74" s="799"/>
      <c r="DIT74" s="800"/>
      <c r="DIU74" s="800"/>
      <c r="DIV74" s="800"/>
      <c r="DIW74" s="800"/>
      <c r="DIX74" s="800"/>
      <c r="DIY74" s="705"/>
      <c r="DIZ74" s="799"/>
      <c r="DJA74" s="800"/>
      <c r="DJB74" s="800"/>
      <c r="DJC74" s="800"/>
      <c r="DJD74" s="800"/>
      <c r="DJE74" s="800"/>
      <c r="DJF74" s="705"/>
      <c r="DJG74" s="799"/>
      <c r="DJH74" s="800"/>
      <c r="DJI74" s="800"/>
      <c r="DJJ74" s="800"/>
      <c r="DJK74" s="800"/>
      <c r="DJL74" s="800"/>
      <c r="DJM74" s="705"/>
      <c r="DJN74" s="799"/>
      <c r="DJO74" s="800"/>
      <c r="DJP74" s="800"/>
      <c r="DJQ74" s="800"/>
      <c r="DJR74" s="800"/>
      <c r="DJS74" s="800"/>
      <c r="DJT74" s="705"/>
      <c r="DJU74" s="799"/>
      <c r="DJV74" s="800"/>
      <c r="DJW74" s="800"/>
      <c r="DJX74" s="800"/>
      <c r="DJY74" s="800"/>
      <c r="DJZ74" s="800"/>
      <c r="DKA74" s="705"/>
      <c r="DKB74" s="799"/>
      <c r="DKC74" s="800"/>
      <c r="DKD74" s="800"/>
      <c r="DKE74" s="800"/>
      <c r="DKF74" s="800"/>
      <c r="DKG74" s="800"/>
      <c r="DKH74" s="705"/>
      <c r="DKI74" s="799"/>
      <c r="DKJ74" s="800"/>
      <c r="DKK74" s="800"/>
      <c r="DKL74" s="800"/>
      <c r="DKM74" s="800"/>
      <c r="DKN74" s="800"/>
      <c r="DKO74" s="705"/>
      <c r="DKP74" s="799"/>
      <c r="DKQ74" s="800"/>
      <c r="DKR74" s="800"/>
      <c r="DKS74" s="800"/>
      <c r="DKT74" s="800"/>
      <c r="DKU74" s="800"/>
      <c r="DKV74" s="705"/>
      <c r="DKW74" s="799"/>
      <c r="DKX74" s="800"/>
      <c r="DKY74" s="800"/>
      <c r="DKZ74" s="800"/>
      <c r="DLA74" s="800"/>
      <c r="DLB74" s="800"/>
      <c r="DLC74" s="705"/>
      <c r="DLD74" s="799"/>
      <c r="DLE74" s="800"/>
      <c r="DLF74" s="800"/>
      <c r="DLG74" s="800"/>
      <c r="DLH74" s="800"/>
      <c r="DLI74" s="800"/>
      <c r="DLJ74" s="705"/>
      <c r="DLK74" s="799"/>
      <c r="DLL74" s="800"/>
      <c r="DLM74" s="800"/>
      <c r="DLN74" s="800"/>
      <c r="DLO74" s="800"/>
      <c r="DLP74" s="800"/>
      <c r="DLQ74" s="705"/>
      <c r="DLR74" s="799"/>
      <c r="DLS74" s="800"/>
      <c r="DLT74" s="800"/>
      <c r="DLU74" s="800"/>
      <c r="DLV74" s="800"/>
      <c r="DLW74" s="800"/>
      <c r="DLX74" s="705"/>
      <c r="DLY74" s="799"/>
      <c r="DLZ74" s="800"/>
      <c r="DMA74" s="800"/>
      <c r="DMB74" s="800"/>
      <c r="DMC74" s="800"/>
      <c r="DMD74" s="800"/>
      <c r="DME74" s="705"/>
      <c r="DMF74" s="799"/>
      <c r="DMG74" s="800"/>
      <c r="DMH74" s="800"/>
      <c r="DMI74" s="800"/>
      <c r="DMJ74" s="800"/>
      <c r="DMK74" s="800"/>
      <c r="DML74" s="705"/>
      <c r="DMM74" s="799"/>
      <c r="DMN74" s="800"/>
      <c r="DMO74" s="800"/>
      <c r="DMP74" s="800"/>
      <c r="DMQ74" s="800"/>
      <c r="DMR74" s="800"/>
      <c r="DMS74" s="705"/>
      <c r="DMT74" s="799"/>
      <c r="DMU74" s="800"/>
      <c r="DMV74" s="800"/>
      <c r="DMW74" s="800"/>
      <c r="DMX74" s="800"/>
      <c r="DMY74" s="800"/>
      <c r="DMZ74" s="705"/>
      <c r="DNA74" s="799"/>
      <c r="DNB74" s="800"/>
      <c r="DNC74" s="800"/>
      <c r="DND74" s="800"/>
      <c r="DNE74" s="800"/>
      <c r="DNF74" s="800"/>
      <c r="DNG74" s="705"/>
      <c r="DNH74" s="799"/>
      <c r="DNI74" s="800"/>
      <c r="DNJ74" s="800"/>
      <c r="DNK74" s="800"/>
      <c r="DNL74" s="800"/>
      <c r="DNM74" s="800"/>
      <c r="DNN74" s="705"/>
      <c r="DNO74" s="799"/>
      <c r="DNP74" s="800"/>
      <c r="DNQ74" s="800"/>
      <c r="DNR74" s="800"/>
      <c r="DNS74" s="800"/>
      <c r="DNT74" s="800"/>
      <c r="DNU74" s="705"/>
      <c r="DNV74" s="799"/>
      <c r="DNW74" s="800"/>
      <c r="DNX74" s="800"/>
      <c r="DNY74" s="800"/>
      <c r="DNZ74" s="800"/>
      <c r="DOA74" s="800"/>
      <c r="DOB74" s="705"/>
      <c r="DOC74" s="799"/>
      <c r="DOD74" s="800"/>
      <c r="DOE74" s="800"/>
      <c r="DOF74" s="800"/>
      <c r="DOG74" s="800"/>
      <c r="DOH74" s="800"/>
      <c r="DOI74" s="705"/>
      <c r="DOJ74" s="799"/>
      <c r="DOK74" s="800"/>
      <c r="DOL74" s="800"/>
      <c r="DOM74" s="800"/>
      <c r="DON74" s="800"/>
      <c r="DOO74" s="800"/>
      <c r="DOP74" s="705"/>
      <c r="DOQ74" s="799"/>
      <c r="DOR74" s="800"/>
      <c r="DOS74" s="800"/>
      <c r="DOT74" s="800"/>
      <c r="DOU74" s="800"/>
      <c r="DOV74" s="800"/>
      <c r="DOW74" s="705"/>
      <c r="DOX74" s="799"/>
      <c r="DOY74" s="800"/>
      <c r="DOZ74" s="800"/>
      <c r="DPA74" s="800"/>
      <c r="DPB74" s="800"/>
      <c r="DPC74" s="800"/>
      <c r="DPD74" s="705"/>
      <c r="DPE74" s="799"/>
      <c r="DPF74" s="800"/>
      <c r="DPG74" s="800"/>
      <c r="DPH74" s="800"/>
      <c r="DPI74" s="800"/>
      <c r="DPJ74" s="800"/>
      <c r="DPK74" s="705"/>
      <c r="DPL74" s="799"/>
      <c r="DPM74" s="800"/>
      <c r="DPN74" s="800"/>
      <c r="DPO74" s="800"/>
      <c r="DPP74" s="800"/>
      <c r="DPQ74" s="800"/>
      <c r="DPR74" s="705"/>
      <c r="DPS74" s="799"/>
      <c r="DPT74" s="800"/>
      <c r="DPU74" s="800"/>
      <c r="DPV74" s="800"/>
      <c r="DPW74" s="800"/>
      <c r="DPX74" s="800"/>
      <c r="DPY74" s="705"/>
      <c r="DPZ74" s="799"/>
      <c r="DQA74" s="800"/>
      <c r="DQB74" s="800"/>
      <c r="DQC74" s="800"/>
      <c r="DQD74" s="800"/>
      <c r="DQE74" s="800"/>
      <c r="DQF74" s="705"/>
      <c r="DQG74" s="799"/>
      <c r="DQH74" s="800"/>
      <c r="DQI74" s="800"/>
      <c r="DQJ74" s="800"/>
      <c r="DQK74" s="800"/>
      <c r="DQL74" s="800"/>
      <c r="DQM74" s="705"/>
      <c r="DQN74" s="799"/>
      <c r="DQO74" s="800"/>
      <c r="DQP74" s="800"/>
      <c r="DQQ74" s="800"/>
      <c r="DQR74" s="800"/>
      <c r="DQS74" s="800"/>
      <c r="DQT74" s="705"/>
      <c r="DQU74" s="799"/>
      <c r="DQV74" s="800"/>
      <c r="DQW74" s="800"/>
      <c r="DQX74" s="800"/>
      <c r="DQY74" s="800"/>
      <c r="DQZ74" s="800"/>
      <c r="DRA74" s="705"/>
      <c r="DRB74" s="799"/>
      <c r="DRC74" s="800"/>
      <c r="DRD74" s="800"/>
      <c r="DRE74" s="800"/>
      <c r="DRF74" s="800"/>
      <c r="DRG74" s="800"/>
      <c r="DRH74" s="705"/>
      <c r="DRI74" s="799"/>
      <c r="DRJ74" s="800"/>
      <c r="DRK74" s="800"/>
      <c r="DRL74" s="800"/>
      <c r="DRM74" s="800"/>
      <c r="DRN74" s="800"/>
      <c r="DRO74" s="705"/>
      <c r="DRP74" s="799"/>
      <c r="DRQ74" s="800"/>
      <c r="DRR74" s="800"/>
      <c r="DRS74" s="800"/>
      <c r="DRT74" s="800"/>
      <c r="DRU74" s="800"/>
      <c r="DRV74" s="705"/>
      <c r="DRW74" s="799"/>
      <c r="DRX74" s="800"/>
      <c r="DRY74" s="800"/>
      <c r="DRZ74" s="800"/>
      <c r="DSA74" s="800"/>
      <c r="DSB74" s="800"/>
      <c r="DSC74" s="705"/>
      <c r="DSD74" s="799"/>
      <c r="DSE74" s="800"/>
      <c r="DSF74" s="800"/>
      <c r="DSG74" s="800"/>
      <c r="DSH74" s="800"/>
      <c r="DSI74" s="800"/>
      <c r="DSJ74" s="705"/>
      <c r="DSK74" s="799"/>
      <c r="DSL74" s="800"/>
      <c r="DSM74" s="800"/>
      <c r="DSN74" s="800"/>
      <c r="DSO74" s="800"/>
      <c r="DSP74" s="800"/>
      <c r="DSQ74" s="705"/>
      <c r="DSR74" s="799"/>
      <c r="DSS74" s="800"/>
      <c r="DST74" s="800"/>
      <c r="DSU74" s="800"/>
      <c r="DSV74" s="800"/>
      <c r="DSW74" s="800"/>
      <c r="DSX74" s="705"/>
      <c r="DSY74" s="799"/>
      <c r="DSZ74" s="800"/>
      <c r="DTA74" s="800"/>
      <c r="DTB74" s="800"/>
      <c r="DTC74" s="800"/>
      <c r="DTD74" s="800"/>
      <c r="DTE74" s="705"/>
      <c r="DTF74" s="799"/>
      <c r="DTG74" s="800"/>
      <c r="DTH74" s="800"/>
      <c r="DTI74" s="800"/>
      <c r="DTJ74" s="800"/>
      <c r="DTK74" s="800"/>
      <c r="DTL74" s="705"/>
      <c r="DTM74" s="799"/>
      <c r="DTN74" s="800"/>
      <c r="DTO74" s="800"/>
      <c r="DTP74" s="800"/>
      <c r="DTQ74" s="800"/>
      <c r="DTR74" s="800"/>
      <c r="DTS74" s="705"/>
      <c r="DTT74" s="799"/>
      <c r="DTU74" s="800"/>
      <c r="DTV74" s="800"/>
      <c r="DTW74" s="800"/>
      <c r="DTX74" s="800"/>
      <c r="DTY74" s="800"/>
      <c r="DTZ74" s="705"/>
      <c r="DUA74" s="799"/>
      <c r="DUB74" s="800"/>
      <c r="DUC74" s="800"/>
      <c r="DUD74" s="800"/>
      <c r="DUE74" s="800"/>
      <c r="DUF74" s="800"/>
      <c r="DUG74" s="705"/>
      <c r="DUH74" s="799"/>
      <c r="DUI74" s="800"/>
      <c r="DUJ74" s="800"/>
      <c r="DUK74" s="800"/>
      <c r="DUL74" s="800"/>
      <c r="DUM74" s="800"/>
      <c r="DUN74" s="705"/>
      <c r="DUO74" s="799"/>
      <c r="DUP74" s="800"/>
      <c r="DUQ74" s="800"/>
      <c r="DUR74" s="800"/>
      <c r="DUS74" s="800"/>
      <c r="DUT74" s="800"/>
      <c r="DUU74" s="705"/>
      <c r="DUV74" s="799"/>
      <c r="DUW74" s="800"/>
      <c r="DUX74" s="800"/>
      <c r="DUY74" s="800"/>
      <c r="DUZ74" s="800"/>
      <c r="DVA74" s="800"/>
      <c r="DVB74" s="705"/>
      <c r="DVC74" s="799"/>
      <c r="DVD74" s="800"/>
      <c r="DVE74" s="800"/>
      <c r="DVF74" s="800"/>
      <c r="DVG74" s="800"/>
      <c r="DVH74" s="800"/>
      <c r="DVI74" s="705"/>
      <c r="DVJ74" s="799"/>
      <c r="DVK74" s="800"/>
      <c r="DVL74" s="800"/>
      <c r="DVM74" s="800"/>
      <c r="DVN74" s="800"/>
      <c r="DVO74" s="800"/>
      <c r="DVP74" s="705"/>
      <c r="DVQ74" s="799"/>
      <c r="DVR74" s="800"/>
      <c r="DVS74" s="800"/>
      <c r="DVT74" s="800"/>
      <c r="DVU74" s="800"/>
      <c r="DVV74" s="800"/>
      <c r="DVW74" s="705"/>
      <c r="DVX74" s="799"/>
      <c r="DVY74" s="800"/>
      <c r="DVZ74" s="800"/>
      <c r="DWA74" s="800"/>
      <c r="DWB74" s="800"/>
      <c r="DWC74" s="800"/>
      <c r="DWD74" s="705"/>
      <c r="DWE74" s="799"/>
      <c r="DWF74" s="800"/>
      <c r="DWG74" s="800"/>
      <c r="DWH74" s="800"/>
      <c r="DWI74" s="800"/>
      <c r="DWJ74" s="800"/>
      <c r="DWK74" s="705"/>
      <c r="DWL74" s="799"/>
      <c r="DWM74" s="800"/>
      <c r="DWN74" s="800"/>
      <c r="DWO74" s="800"/>
      <c r="DWP74" s="800"/>
      <c r="DWQ74" s="800"/>
      <c r="DWR74" s="705"/>
      <c r="DWS74" s="799"/>
      <c r="DWT74" s="800"/>
      <c r="DWU74" s="800"/>
      <c r="DWV74" s="800"/>
      <c r="DWW74" s="800"/>
      <c r="DWX74" s="800"/>
      <c r="DWY74" s="705"/>
      <c r="DWZ74" s="799"/>
      <c r="DXA74" s="800"/>
      <c r="DXB74" s="800"/>
      <c r="DXC74" s="800"/>
      <c r="DXD74" s="800"/>
      <c r="DXE74" s="800"/>
      <c r="DXF74" s="705"/>
      <c r="DXG74" s="799"/>
      <c r="DXH74" s="800"/>
      <c r="DXI74" s="800"/>
      <c r="DXJ74" s="800"/>
      <c r="DXK74" s="800"/>
      <c r="DXL74" s="800"/>
      <c r="DXM74" s="705"/>
      <c r="DXN74" s="799"/>
      <c r="DXO74" s="800"/>
      <c r="DXP74" s="800"/>
      <c r="DXQ74" s="800"/>
      <c r="DXR74" s="800"/>
      <c r="DXS74" s="800"/>
      <c r="DXT74" s="705"/>
      <c r="DXU74" s="799"/>
      <c r="DXV74" s="800"/>
      <c r="DXW74" s="800"/>
      <c r="DXX74" s="800"/>
      <c r="DXY74" s="800"/>
      <c r="DXZ74" s="800"/>
      <c r="DYA74" s="705"/>
      <c r="DYB74" s="799"/>
      <c r="DYC74" s="800"/>
      <c r="DYD74" s="800"/>
      <c r="DYE74" s="800"/>
      <c r="DYF74" s="800"/>
      <c r="DYG74" s="800"/>
      <c r="DYH74" s="705"/>
      <c r="DYI74" s="799"/>
      <c r="DYJ74" s="800"/>
      <c r="DYK74" s="800"/>
      <c r="DYL74" s="800"/>
      <c r="DYM74" s="800"/>
      <c r="DYN74" s="800"/>
      <c r="DYO74" s="705"/>
      <c r="DYP74" s="799"/>
      <c r="DYQ74" s="800"/>
      <c r="DYR74" s="800"/>
      <c r="DYS74" s="800"/>
      <c r="DYT74" s="800"/>
      <c r="DYU74" s="800"/>
      <c r="DYV74" s="705"/>
      <c r="DYW74" s="799"/>
      <c r="DYX74" s="800"/>
      <c r="DYY74" s="800"/>
      <c r="DYZ74" s="800"/>
      <c r="DZA74" s="800"/>
      <c r="DZB74" s="800"/>
      <c r="DZC74" s="705"/>
      <c r="DZD74" s="799"/>
      <c r="DZE74" s="800"/>
      <c r="DZF74" s="800"/>
      <c r="DZG74" s="800"/>
      <c r="DZH74" s="800"/>
      <c r="DZI74" s="800"/>
      <c r="DZJ74" s="705"/>
      <c r="DZK74" s="799"/>
      <c r="DZL74" s="800"/>
      <c r="DZM74" s="800"/>
      <c r="DZN74" s="800"/>
      <c r="DZO74" s="800"/>
      <c r="DZP74" s="800"/>
      <c r="DZQ74" s="705"/>
      <c r="DZR74" s="799"/>
      <c r="DZS74" s="800"/>
      <c r="DZT74" s="800"/>
      <c r="DZU74" s="800"/>
      <c r="DZV74" s="800"/>
      <c r="DZW74" s="800"/>
      <c r="DZX74" s="705"/>
      <c r="DZY74" s="799"/>
      <c r="DZZ74" s="800"/>
      <c r="EAA74" s="800"/>
      <c r="EAB74" s="800"/>
      <c r="EAC74" s="800"/>
      <c r="EAD74" s="800"/>
      <c r="EAE74" s="705"/>
      <c r="EAF74" s="799"/>
      <c r="EAG74" s="800"/>
      <c r="EAH74" s="800"/>
      <c r="EAI74" s="800"/>
      <c r="EAJ74" s="800"/>
      <c r="EAK74" s="800"/>
      <c r="EAL74" s="705"/>
      <c r="EAM74" s="799"/>
      <c r="EAN74" s="800"/>
      <c r="EAO74" s="800"/>
      <c r="EAP74" s="800"/>
      <c r="EAQ74" s="800"/>
      <c r="EAR74" s="800"/>
      <c r="EAS74" s="705"/>
      <c r="EAT74" s="799"/>
      <c r="EAU74" s="800"/>
      <c r="EAV74" s="800"/>
      <c r="EAW74" s="800"/>
      <c r="EAX74" s="800"/>
      <c r="EAY74" s="800"/>
      <c r="EAZ74" s="705"/>
      <c r="EBA74" s="799"/>
      <c r="EBB74" s="800"/>
      <c r="EBC74" s="800"/>
      <c r="EBD74" s="800"/>
      <c r="EBE74" s="800"/>
      <c r="EBF74" s="800"/>
      <c r="EBG74" s="705"/>
      <c r="EBH74" s="799"/>
      <c r="EBI74" s="800"/>
      <c r="EBJ74" s="800"/>
      <c r="EBK74" s="800"/>
      <c r="EBL74" s="800"/>
      <c r="EBM74" s="800"/>
      <c r="EBN74" s="705"/>
      <c r="EBO74" s="799"/>
      <c r="EBP74" s="800"/>
      <c r="EBQ74" s="800"/>
      <c r="EBR74" s="800"/>
      <c r="EBS74" s="800"/>
      <c r="EBT74" s="800"/>
      <c r="EBU74" s="705"/>
      <c r="EBV74" s="799"/>
      <c r="EBW74" s="800"/>
      <c r="EBX74" s="800"/>
      <c r="EBY74" s="800"/>
      <c r="EBZ74" s="800"/>
      <c r="ECA74" s="800"/>
      <c r="ECB74" s="705"/>
      <c r="ECC74" s="799"/>
      <c r="ECD74" s="800"/>
      <c r="ECE74" s="800"/>
      <c r="ECF74" s="800"/>
      <c r="ECG74" s="800"/>
      <c r="ECH74" s="800"/>
      <c r="ECI74" s="705"/>
      <c r="ECJ74" s="799"/>
      <c r="ECK74" s="800"/>
      <c r="ECL74" s="800"/>
      <c r="ECM74" s="800"/>
      <c r="ECN74" s="800"/>
      <c r="ECO74" s="800"/>
      <c r="ECP74" s="705"/>
      <c r="ECQ74" s="799"/>
      <c r="ECR74" s="800"/>
      <c r="ECS74" s="800"/>
      <c r="ECT74" s="800"/>
      <c r="ECU74" s="800"/>
      <c r="ECV74" s="800"/>
      <c r="ECW74" s="705"/>
      <c r="ECX74" s="799"/>
      <c r="ECY74" s="800"/>
      <c r="ECZ74" s="800"/>
      <c r="EDA74" s="800"/>
      <c r="EDB74" s="800"/>
      <c r="EDC74" s="800"/>
      <c r="EDD74" s="705"/>
      <c r="EDE74" s="799"/>
      <c r="EDF74" s="800"/>
      <c r="EDG74" s="800"/>
      <c r="EDH74" s="800"/>
      <c r="EDI74" s="800"/>
      <c r="EDJ74" s="800"/>
      <c r="EDK74" s="705"/>
      <c r="EDL74" s="799"/>
      <c r="EDM74" s="800"/>
      <c r="EDN74" s="800"/>
      <c r="EDO74" s="800"/>
      <c r="EDP74" s="800"/>
      <c r="EDQ74" s="800"/>
      <c r="EDR74" s="705"/>
      <c r="EDS74" s="799"/>
      <c r="EDT74" s="800"/>
      <c r="EDU74" s="800"/>
      <c r="EDV74" s="800"/>
      <c r="EDW74" s="800"/>
      <c r="EDX74" s="800"/>
      <c r="EDY74" s="705"/>
      <c r="EDZ74" s="799"/>
      <c r="EEA74" s="800"/>
      <c r="EEB74" s="800"/>
      <c r="EEC74" s="800"/>
      <c r="EED74" s="800"/>
      <c r="EEE74" s="800"/>
      <c r="EEF74" s="705"/>
      <c r="EEG74" s="799"/>
      <c r="EEH74" s="800"/>
      <c r="EEI74" s="800"/>
      <c r="EEJ74" s="800"/>
      <c r="EEK74" s="800"/>
      <c r="EEL74" s="800"/>
      <c r="EEM74" s="705"/>
      <c r="EEN74" s="799"/>
      <c r="EEO74" s="800"/>
      <c r="EEP74" s="800"/>
      <c r="EEQ74" s="800"/>
      <c r="EER74" s="800"/>
      <c r="EES74" s="800"/>
      <c r="EET74" s="705"/>
      <c r="EEU74" s="799"/>
      <c r="EEV74" s="800"/>
      <c r="EEW74" s="800"/>
      <c r="EEX74" s="800"/>
      <c r="EEY74" s="800"/>
      <c r="EEZ74" s="800"/>
      <c r="EFA74" s="705"/>
      <c r="EFB74" s="799"/>
      <c r="EFC74" s="800"/>
      <c r="EFD74" s="800"/>
      <c r="EFE74" s="800"/>
      <c r="EFF74" s="800"/>
      <c r="EFG74" s="800"/>
      <c r="EFH74" s="705"/>
      <c r="EFI74" s="799"/>
      <c r="EFJ74" s="800"/>
      <c r="EFK74" s="800"/>
      <c r="EFL74" s="800"/>
      <c r="EFM74" s="800"/>
      <c r="EFN74" s="800"/>
      <c r="EFO74" s="705"/>
      <c r="EFP74" s="799"/>
      <c r="EFQ74" s="800"/>
      <c r="EFR74" s="800"/>
      <c r="EFS74" s="800"/>
      <c r="EFT74" s="800"/>
      <c r="EFU74" s="800"/>
      <c r="EFV74" s="705"/>
      <c r="EFW74" s="799"/>
      <c r="EFX74" s="800"/>
      <c r="EFY74" s="800"/>
      <c r="EFZ74" s="800"/>
      <c r="EGA74" s="800"/>
      <c r="EGB74" s="800"/>
      <c r="EGC74" s="705"/>
      <c r="EGD74" s="799"/>
      <c r="EGE74" s="800"/>
      <c r="EGF74" s="800"/>
      <c r="EGG74" s="800"/>
      <c r="EGH74" s="800"/>
      <c r="EGI74" s="800"/>
      <c r="EGJ74" s="705"/>
      <c r="EGK74" s="799"/>
      <c r="EGL74" s="800"/>
      <c r="EGM74" s="800"/>
      <c r="EGN74" s="800"/>
      <c r="EGO74" s="800"/>
      <c r="EGP74" s="800"/>
      <c r="EGQ74" s="705"/>
      <c r="EGR74" s="799"/>
      <c r="EGS74" s="800"/>
      <c r="EGT74" s="800"/>
      <c r="EGU74" s="800"/>
      <c r="EGV74" s="800"/>
      <c r="EGW74" s="800"/>
      <c r="EGX74" s="705"/>
      <c r="EGY74" s="799"/>
      <c r="EGZ74" s="800"/>
      <c r="EHA74" s="800"/>
      <c r="EHB74" s="800"/>
      <c r="EHC74" s="800"/>
      <c r="EHD74" s="800"/>
      <c r="EHE74" s="705"/>
      <c r="EHF74" s="799"/>
      <c r="EHG74" s="800"/>
      <c r="EHH74" s="800"/>
      <c r="EHI74" s="800"/>
      <c r="EHJ74" s="800"/>
      <c r="EHK74" s="800"/>
      <c r="EHL74" s="705"/>
      <c r="EHM74" s="799"/>
      <c r="EHN74" s="800"/>
      <c r="EHO74" s="800"/>
      <c r="EHP74" s="800"/>
      <c r="EHQ74" s="800"/>
      <c r="EHR74" s="800"/>
      <c r="EHS74" s="705"/>
      <c r="EHT74" s="799"/>
      <c r="EHU74" s="800"/>
      <c r="EHV74" s="800"/>
      <c r="EHW74" s="800"/>
      <c r="EHX74" s="800"/>
      <c r="EHY74" s="800"/>
      <c r="EHZ74" s="705"/>
      <c r="EIA74" s="799"/>
      <c r="EIB74" s="800"/>
      <c r="EIC74" s="800"/>
      <c r="EID74" s="800"/>
      <c r="EIE74" s="800"/>
      <c r="EIF74" s="800"/>
      <c r="EIG74" s="705"/>
      <c r="EIH74" s="799"/>
      <c r="EII74" s="800"/>
      <c r="EIJ74" s="800"/>
      <c r="EIK74" s="800"/>
      <c r="EIL74" s="800"/>
      <c r="EIM74" s="800"/>
      <c r="EIN74" s="705"/>
      <c r="EIO74" s="799"/>
      <c r="EIP74" s="800"/>
      <c r="EIQ74" s="800"/>
      <c r="EIR74" s="800"/>
      <c r="EIS74" s="800"/>
      <c r="EIT74" s="800"/>
      <c r="EIU74" s="705"/>
      <c r="EIV74" s="799"/>
      <c r="EIW74" s="800"/>
      <c r="EIX74" s="800"/>
      <c r="EIY74" s="800"/>
      <c r="EIZ74" s="800"/>
      <c r="EJA74" s="800"/>
      <c r="EJB74" s="705"/>
      <c r="EJC74" s="799"/>
      <c r="EJD74" s="800"/>
      <c r="EJE74" s="800"/>
      <c r="EJF74" s="800"/>
      <c r="EJG74" s="800"/>
      <c r="EJH74" s="800"/>
      <c r="EJI74" s="705"/>
      <c r="EJJ74" s="799"/>
      <c r="EJK74" s="800"/>
      <c r="EJL74" s="800"/>
      <c r="EJM74" s="800"/>
      <c r="EJN74" s="800"/>
      <c r="EJO74" s="800"/>
      <c r="EJP74" s="705"/>
      <c r="EJQ74" s="799"/>
      <c r="EJR74" s="800"/>
      <c r="EJS74" s="800"/>
      <c r="EJT74" s="800"/>
      <c r="EJU74" s="800"/>
      <c r="EJV74" s="800"/>
      <c r="EJW74" s="705"/>
      <c r="EJX74" s="799"/>
      <c r="EJY74" s="800"/>
      <c r="EJZ74" s="800"/>
      <c r="EKA74" s="800"/>
      <c r="EKB74" s="800"/>
      <c r="EKC74" s="800"/>
      <c r="EKD74" s="705"/>
      <c r="EKE74" s="799"/>
      <c r="EKF74" s="800"/>
      <c r="EKG74" s="800"/>
      <c r="EKH74" s="800"/>
      <c r="EKI74" s="800"/>
      <c r="EKJ74" s="800"/>
      <c r="EKK74" s="705"/>
      <c r="EKL74" s="799"/>
      <c r="EKM74" s="800"/>
      <c r="EKN74" s="800"/>
      <c r="EKO74" s="800"/>
      <c r="EKP74" s="800"/>
      <c r="EKQ74" s="800"/>
      <c r="EKR74" s="705"/>
      <c r="EKS74" s="799"/>
      <c r="EKT74" s="800"/>
      <c r="EKU74" s="800"/>
      <c r="EKV74" s="800"/>
      <c r="EKW74" s="800"/>
      <c r="EKX74" s="800"/>
      <c r="EKY74" s="705"/>
      <c r="EKZ74" s="799"/>
      <c r="ELA74" s="800"/>
      <c r="ELB74" s="800"/>
      <c r="ELC74" s="800"/>
      <c r="ELD74" s="800"/>
      <c r="ELE74" s="800"/>
      <c r="ELF74" s="705"/>
      <c r="ELG74" s="799"/>
      <c r="ELH74" s="800"/>
      <c r="ELI74" s="800"/>
      <c r="ELJ74" s="800"/>
      <c r="ELK74" s="800"/>
      <c r="ELL74" s="800"/>
      <c r="ELM74" s="705"/>
      <c r="ELN74" s="799"/>
      <c r="ELO74" s="800"/>
      <c r="ELP74" s="800"/>
      <c r="ELQ74" s="800"/>
      <c r="ELR74" s="800"/>
      <c r="ELS74" s="800"/>
      <c r="ELT74" s="705"/>
      <c r="ELU74" s="799"/>
      <c r="ELV74" s="800"/>
      <c r="ELW74" s="800"/>
      <c r="ELX74" s="800"/>
      <c r="ELY74" s="800"/>
      <c r="ELZ74" s="800"/>
      <c r="EMA74" s="705"/>
      <c r="EMB74" s="799"/>
      <c r="EMC74" s="800"/>
      <c r="EMD74" s="800"/>
      <c r="EME74" s="800"/>
      <c r="EMF74" s="800"/>
      <c r="EMG74" s="800"/>
      <c r="EMH74" s="705"/>
      <c r="EMI74" s="799"/>
      <c r="EMJ74" s="800"/>
      <c r="EMK74" s="800"/>
      <c r="EML74" s="800"/>
      <c r="EMM74" s="800"/>
      <c r="EMN74" s="800"/>
      <c r="EMO74" s="705"/>
      <c r="EMP74" s="799"/>
      <c r="EMQ74" s="800"/>
      <c r="EMR74" s="800"/>
      <c r="EMS74" s="800"/>
      <c r="EMT74" s="800"/>
      <c r="EMU74" s="800"/>
      <c r="EMV74" s="705"/>
      <c r="EMW74" s="799"/>
      <c r="EMX74" s="800"/>
      <c r="EMY74" s="800"/>
      <c r="EMZ74" s="800"/>
      <c r="ENA74" s="800"/>
      <c r="ENB74" s="800"/>
      <c r="ENC74" s="705"/>
      <c r="END74" s="799"/>
      <c r="ENE74" s="800"/>
      <c r="ENF74" s="800"/>
      <c r="ENG74" s="800"/>
      <c r="ENH74" s="800"/>
      <c r="ENI74" s="800"/>
      <c r="ENJ74" s="705"/>
      <c r="ENK74" s="799"/>
      <c r="ENL74" s="800"/>
      <c r="ENM74" s="800"/>
      <c r="ENN74" s="800"/>
      <c r="ENO74" s="800"/>
      <c r="ENP74" s="800"/>
      <c r="ENQ74" s="705"/>
      <c r="ENR74" s="799"/>
      <c r="ENS74" s="800"/>
      <c r="ENT74" s="800"/>
      <c r="ENU74" s="800"/>
      <c r="ENV74" s="800"/>
      <c r="ENW74" s="800"/>
      <c r="ENX74" s="705"/>
      <c r="ENY74" s="799"/>
      <c r="ENZ74" s="800"/>
      <c r="EOA74" s="800"/>
      <c r="EOB74" s="800"/>
      <c r="EOC74" s="800"/>
      <c r="EOD74" s="800"/>
      <c r="EOE74" s="705"/>
      <c r="EOF74" s="799"/>
      <c r="EOG74" s="800"/>
      <c r="EOH74" s="800"/>
      <c r="EOI74" s="800"/>
      <c r="EOJ74" s="800"/>
      <c r="EOK74" s="800"/>
      <c r="EOL74" s="705"/>
      <c r="EOM74" s="799"/>
      <c r="EON74" s="800"/>
      <c r="EOO74" s="800"/>
      <c r="EOP74" s="800"/>
      <c r="EOQ74" s="800"/>
      <c r="EOR74" s="800"/>
      <c r="EOS74" s="705"/>
      <c r="EOT74" s="799"/>
      <c r="EOU74" s="800"/>
      <c r="EOV74" s="800"/>
      <c r="EOW74" s="800"/>
      <c r="EOX74" s="800"/>
      <c r="EOY74" s="800"/>
      <c r="EOZ74" s="705"/>
      <c r="EPA74" s="799"/>
      <c r="EPB74" s="800"/>
      <c r="EPC74" s="800"/>
      <c r="EPD74" s="800"/>
      <c r="EPE74" s="800"/>
      <c r="EPF74" s="800"/>
      <c r="EPG74" s="705"/>
      <c r="EPH74" s="799"/>
      <c r="EPI74" s="800"/>
      <c r="EPJ74" s="800"/>
      <c r="EPK74" s="800"/>
      <c r="EPL74" s="800"/>
      <c r="EPM74" s="800"/>
      <c r="EPN74" s="705"/>
      <c r="EPO74" s="799"/>
      <c r="EPP74" s="800"/>
      <c r="EPQ74" s="800"/>
      <c r="EPR74" s="800"/>
      <c r="EPS74" s="800"/>
      <c r="EPT74" s="800"/>
      <c r="EPU74" s="705"/>
      <c r="EPV74" s="799"/>
      <c r="EPW74" s="800"/>
      <c r="EPX74" s="800"/>
      <c r="EPY74" s="800"/>
      <c r="EPZ74" s="800"/>
      <c r="EQA74" s="800"/>
      <c r="EQB74" s="705"/>
      <c r="EQC74" s="799"/>
      <c r="EQD74" s="800"/>
      <c r="EQE74" s="800"/>
      <c r="EQF74" s="800"/>
      <c r="EQG74" s="800"/>
      <c r="EQH74" s="800"/>
      <c r="EQI74" s="705"/>
      <c r="EQJ74" s="799"/>
      <c r="EQK74" s="800"/>
      <c r="EQL74" s="800"/>
      <c r="EQM74" s="800"/>
      <c r="EQN74" s="800"/>
      <c r="EQO74" s="800"/>
      <c r="EQP74" s="705"/>
      <c r="EQQ74" s="799"/>
      <c r="EQR74" s="800"/>
      <c r="EQS74" s="800"/>
      <c r="EQT74" s="800"/>
      <c r="EQU74" s="800"/>
      <c r="EQV74" s="800"/>
      <c r="EQW74" s="705"/>
      <c r="EQX74" s="799"/>
      <c r="EQY74" s="800"/>
      <c r="EQZ74" s="800"/>
      <c r="ERA74" s="800"/>
      <c r="ERB74" s="800"/>
      <c r="ERC74" s="800"/>
      <c r="ERD74" s="705"/>
      <c r="ERE74" s="799"/>
      <c r="ERF74" s="800"/>
      <c r="ERG74" s="800"/>
      <c r="ERH74" s="800"/>
      <c r="ERI74" s="800"/>
      <c r="ERJ74" s="800"/>
      <c r="ERK74" s="705"/>
      <c r="ERL74" s="799"/>
      <c r="ERM74" s="800"/>
      <c r="ERN74" s="800"/>
      <c r="ERO74" s="800"/>
      <c r="ERP74" s="800"/>
      <c r="ERQ74" s="800"/>
      <c r="ERR74" s="705"/>
      <c r="ERS74" s="799"/>
      <c r="ERT74" s="800"/>
      <c r="ERU74" s="800"/>
      <c r="ERV74" s="800"/>
      <c r="ERW74" s="800"/>
      <c r="ERX74" s="800"/>
      <c r="ERY74" s="705"/>
      <c r="ERZ74" s="799"/>
      <c r="ESA74" s="800"/>
      <c r="ESB74" s="800"/>
      <c r="ESC74" s="800"/>
      <c r="ESD74" s="800"/>
      <c r="ESE74" s="800"/>
      <c r="ESF74" s="705"/>
      <c r="ESG74" s="799"/>
      <c r="ESH74" s="800"/>
      <c r="ESI74" s="800"/>
      <c r="ESJ74" s="800"/>
      <c r="ESK74" s="800"/>
      <c r="ESL74" s="800"/>
      <c r="ESM74" s="705"/>
      <c r="ESN74" s="799"/>
      <c r="ESO74" s="800"/>
      <c r="ESP74" s="800"/>
      <c r="ESQ74" s="800"/>
      <c r="ESR74" s="800"/>
      <c r="ESS74" s="800"/>
      <c r="EST74" s="705"/>
      <c r="ESU74" s="799"/>
      <c r="ESV74" s="800"/>
      <c r="ESW74" s="800"/>
      <c r="ESX74" s="800"/>
      <c r="ESY74" s="800"/>
      <c r="ESZ74" s="800"/>
      <c r="ETA74" s="705"/>
      <c r="ETB74" s="799"/>
      <c r="ETC74" s="800"/>
      <c r="ETD74" s="800"/>
      <c r="ETE74" s="800"/>
      <c r="ETF74" s="800"/>
      <c r="ETG74" s="800"/>
      <c r="ETH74" s="705"/>
      <c r="ETI74" s="799"/>
      <c r="ETJ74" s="800"/>
      <c r="ETK74" s="800"/>
      <c r="ETL74" s="800"/>
      <c r="ETM74" s="800"/>
      <c r="ETN74" s="800"/>
      <c r="ETO74" s="705"/>
      <c r="ETP74" s="799"/>
      <c r="ETQ74" s="800"/>
      <c r="ETR74" s="800"/>
      <c r="ETS74" s="800"/>
      <c r="ETT74" s="800"/>
      <c r="ETU74" s="800"/>
      <c r="ETV74" s="705"/>
      <c r="ETW74" s="799"/>
      <c r="ETX74" s="800"/>
      <c r="ETY74" s="800"/>
      <c r="ETZ74" s="800"/>
      <c r="EUA74" s="800"/>
      <c r="EUB74" s="800"/>
      <c r="EUC74" s="705"/>
      <c r="EUD74" s="799"/>
      <c r="EUE74" s="800"/>
      <c r="EUF74" s="800"/>
      <c r="EUG74" s="800"/>
      <c r="EUH74" s="800"/>
      <c r="EUI74" s="800"/>
      <c r="EUJ74" s="705"/>
      <c r="EUK74" s="799"/>
      <c r="EUL74" s="800"/>
      <c r="EUM74" s="800"/>
      <c r="EUN74" s="800"/>
      <c r="EUO74" s="800"/>
      <c r="EUP74" s="800"/>
      <c r="EUQ74" s="705"/>
      <c r="EUR74" s="799"/>
      <c r="EUS74" s="800"/>
      <c r="EUT74" s="800"/>
      <c r="EUU74" s="800"/>
      <c r="EUV74" s="800"/>
      <c r="EUW74" s="800"/>
      <c r="EUX74" s="705"/>
      <c r="EUY74" s="799"/>
      <c r="EUZ74" s="800"/>
      <c r="EVA74" s="800"/>
      <c r="EVB74" s="800"/>
      <c r="EVC74" s="800"/>
      <c r="EVD74" s="800"/>
      <c r="EVE74" s="705"/>
      <c r="EVF74" s="799"/>
      <c r="EVG74" s="800"/>
      <c r="EVH74" s="800"/>
      <c r="EVI74" s="800"/>
      <c r="EVJ74" s="800"/>
      <c r="EVK74" s="800"/>
      <c r="EVL74" s="705"/>
      <c r="EVM74" s="799"/>
      <c r="EVN74" s="800"/>
      <c r="EVO74" s="800"/>
      <c r="EVP74" s="800"/>
      <c r="EVQ74" s="800"/>
      <c r="EVR74" s="800"/>
      <c r="EVS74" s="705"/>
      <c r="EVT74" s="799"/>
      <c r="EVU74" s="800"/>
      <c r="EVV74" s="800"/>
      <c r="EVW74" s="800"/>
      <c r="EVX74" s="800"/>
      <c r="EVY74" s="800"/>
      <c r="EVZ74" s="705"/>
      <c r="EWA74" s="799"/>
      <c r="EWB74" s="800"/>
      <c r="EWC74" s="800"/>
      <c r="EWD74" s="800"/>
      <c r="EWE74" s="800"/>
      <c r="EWF74" s="800"/>
      <c r="EWG74" s="705"/>
      <c r="EWH74" s="799"/>
      <c r="EWI74" s="800"/>
      <c r="EWJ74" s="800"/>
      <c r="EWK74" s="800"/>
      <c r="EWL74" s="800"/>
      <c r="EWM74" s="800"/>
      <c r="EWN74" s="705"/>
      <c r="EWO74" s="799"/>
      <c r="EWP74" s="800"/>
      <c r="EWQ74" s="800"/>
      <c r="EWR74" s="800"/>
      <c r="EWS74" s="800"/>
      <c r="EWT74" s="800"/>
      <c r="EWU74" s="705"/>
      <c r="EWV74" s="799"/>
      <c r="EWW74" s="800"/>
      <c r="EWX74" s="800"/>
      <c r="EWY74" s="800"/>
      <c r="EWZ74" s="800"/>
      <c r="EXA74" s="800"/>
      <c r="EXB74" s="705"/>
      <c r="EXC74" s="799"/>
      <c r="EXD74" s="800"/>
      <c r="EXE74" s="800"/>
      <c r="EXF74" s="800"/>
      <c r="EXG74" s="800"/>
      <c r="EXH74" s="800"/>
      <c r="EXI74" s="705"/>
      <c r="EXJ74" s="799"/>
      <c r="EXK74" s="800"/>
      <c r="EXL74" s="800"/>
      <c r="EXM74" s="800"/>
      <c r="EXN74" s="800"/>
      <c r="EXO74" s="800"/>
      <c r="EXP74" s="705"/>
      <c r="EXQ74" s="799"/>
      <c r="EXR74" s="800"/>
      <c r="EXS74" s="800"/>
      <c r="EXT74" s="800"/>
      <c r="EXU74" s="800"/>
      <c r="EXV74" s="800"/>
      <c r="EXW74" s="705"/>
      <c r="EXX74" s="799"/>
      <c r="EXY74" s="800"/>
      <c r="EXZ74" s="800"/>
      <c r="EYA74" s="800"/>
      <c r="EYB74" s="800"/>
      <c r="EYC74" s="800"/>
      <c r="EYD74" s="705"/>
      <c r="EYE74" s="799"/>
      <c r="EYF74" s="800"/>
      <c r="EYG74" s="800"/>
      <c r="EYH74" s="800"/>
      <c r="EYI74" s="800"/>
      <c r="EYJ74" s="800"/>
      <c r="EYK74" s="705"/>
      <c r="EYL74" s="799"/>
      <c r="EYM74" s="800"/>
      <c r="EYN74" s="800"/>
      <c r="EYO74" s="800"/>
      <c r="EYP74" s="800"/>
      <c r="EYQ74" s="800"/>
      <c r="EYR74" s="705"/>
      <c r="EYS74" s="799"/>
      <c r="EYT74" s="800"/>
      <c r="EYU74" s="800"/>
      <c r="EYV74" s="800"/>
      <c r="EYW74" s="800"/>
      <c r="EYX74" s="800"/>
      <c r="EYY74" s="705"/>
      <c r="EYZ74" s="799"/>
      <c r="EZA74" s="800"/>
      <c r="EZB74" s="800"/>
      <c r="EZC74" s="800"/>
      <c r="EZD74" s="800"/>
      <c r="EZE74" s="800"/>
      <c r="EZF74" s="705"/>
      <c r="EZG74" s="799"/>
      <c r="EZH74" s="800"/>
      <c r="EZI74" s="800"/>
      <c r="EZJ74" s="800"/>
      <c r="EZK74" s="800"/>
      <c r="EZL74" s="800"/>
      <c r="EZM74" s="705"/>
      <c r="EZN74" s="799"/>
      <c r="EZO74" s="800"/>
      <c r="EZP74" s="800"/>
      <c r="EZQ74" s="800"/>
      <c r="EZR74" s="800"/>
      <c r="EZS74" s="800"/>
      <c r="EZT74" s="705"/>
      <c r="EZU74" s="799"/>
      <c r="EZV74" s="800"/>
      <c r="EZW74" s="800"/>
      <c r="EZX74" s="800"/>
      <c r="EZY74" s="800"/>
      <c r="EZZ74" s="800"/>
      <c r="FAA74" s="705"/>
      <c r="FAB74" s="799"/>
      <c r="FAC74" s="800"/>
      <c r="FAD74" s="800"/>
      <c r="FAE74" s="800"/>
      <c r="FAF74" s="800"/>
      <c r="FAG74" s="800"/>
      <c r="FAH74" s="705"/>
      <c r="FAI74" s="799"/>
      <c r="FAJ74" s="800"/>
      <c r="FAK74" s="800"/>
      <c r="FAL74" s="800"/>
      <c r="FAM74" s="800"/>
      <c r="FAN74" s="800"/>
      <c r="FAO74" s="705"/>
      <c r="FAP74" s="799"/>
      <c r="FAQ74" s="800"/>
      <c r="FAR74" s="800"/>
      <c r="FAS74" s="800"/>
      <c r="FAT74" s="800"/>
      <c r="FAU74" s="800"/>
      <c r="FAV74" s="705"/>
      <c r="FAW74" s="799"/>
      <c r="FAX74" s="800"/>
      <c r="FAY74" s="800"/>
      <c r="FAZ74" s="800"/>
      <c r="FBA74" s="800"/>
      <c r="FBB74" s="800"/>
      <c r="FBC74" s="705"/>
      <c r="FBD74" s="799"/>
      <c r="FBE74" s="800"/>
      <c r="FBF74" s="800"/>
      <c r="FBG74" s="800"/>
      <c r="FBH74" s="800"/>
      <c r="FBI74" s="800"/>
      <c r="FBJ74" s="705"/>
      <c r="FBK74" s="799"/>
      <c r="FBL74" s="800"/>
      <c r="FBM74" s="800"/>
      <c r="FBN74" s="800"/>
      <c r="FBO74" s="800"/>
      <c r="FBP74" s="800"/>
      <c r="FBQ74" s="705"/>
      <c r="FBR74" s="799"/>
      <c r="FBS74" s="800"/>
      <c r="FBT74" s="800"/>
      <c r="FBU74" s="800"/>
      <c r="FBV74" s="800"/>
      <c r="FBW74" s="800"/>
      <c r="FBX74" s="705"/>
      <c r="FBY74" s="799"/>
      <c r="FBZ74" s="800"/>
      <c r="FCA74" s="800"/>
      <c r="FCB74" s="800"/>
      <c r="FCC74" s="800"/>
      <c r="FCD74" s="800"/>
      <c r="FCE74" s="705"/>
      <c r="FCF74" s="799"/>
      <c r="FCG74" s="800"/>
      <c r="FCH74" s="800"/>
      <c r="FCI74" s="800"/>
      <c r="FCJ74" s="800"/>
      <c r="FCK74" s="800"/>
      <c r="FCL74" s="705"/>
      <c r="FCM74" s="799"/>
      <c r="FCN74" s="800"/>
      <c r="FCO74" s="800"/>
      <c r="FCP74" s="800"/>
      <c r="FCQ74" s="800"/>
      <c r="FCR74" s="800"/>
      <c r="FCS74" s="705"/>
      <c r="FCT74" s="799"/>
      <c r="FCU74" s="800"/>
      <c r="FCV74" s="800"/>
      <c r="FCW74" s="800"/>
      <c r="FCX74" s="800"/>
      <c r="FCY74" s="800"/>
      <c r="FCZ74" s="705"/>
      <c r="FDA74" s="799"/>
      <c r="FDB74" s="800"/>
      <c r="FDC74" s="800"/>
      <c r="FDD74" s="800"/>
      <c r="FDE74" s="800"/>
      <c r="FDF74" s="800"/>
      <c r="FDG74" s="705"/>
      <c r="FDH74" s="799"/>
      <c r="FDI74" s="800"/>
      <c r="FDJ74" s="800"/>
      <c r="FDK74" s="800"/>
      <c r="FDL74" s="800"/>
      <c r="FDM74" s="800"/>
      <c r="FDN74" s="705"/>
      <c r="FDO74" s="799"/>
      <c r="FDP74" s="800"/>
      <c r="FDQ74" s="800"/>
      <c r="FDR74" s="800"/>
      <c r="FDS74" s="800"/>
      <c r="FDT74" s="800"/>
      <c r="FDU74" s="705"/>
      <c r="FDV74" s="799"/>
      <c r="FDW74" s="800"/>
      <c r="FDX74" s="800"/>
      <c r="FDY74" s="800"/>
      <c r="FDZ74" s="800"/>
      <c r="FEA74" s="800"/>
      <c r="FEB74" s="705"/>
      <c r="FEC74" s="799"/>
      <c r="FED74" s="800"/>
      <c r="FEE74" s="800"/>
      <c r="FEF74" s="800"/>
      <c r="FEG74" s="800"/>
      <c r="FEH74" s="800"/>
      <c r="FEI74" s="705"/>
      <c r="FEJ74" s="799"/>
      <c r="FEK74" s="800"/>
      <c r="FEL74" s="800"/>
      <c r="FEM74" s="800"/>
      <c r="FEN74" s="800"/>
      <c r="FEO74" s="800"/>
      <c r="FEP74" s="705"/>
      <c r="FEQ74" s="799"/>
      <c r="FER74" s="800"/>
      <c r="FES74" s="800"/>
      <c r="FET74" s="800"/>
      <c r="FEU74" s="800"/>
      <c r="FEV74" s="800"/>
      <c r="FEW74" s="705"/>
      <c r="FEX74" s="799"/>
      <c r="FEY74" s="800"/>
      <c r="FEZ74" s="800"/>
      <c r="FFA74" s="800"/>
      <c r="FFB74" s="800"/>
      <c r="FFC74" s="800"/>
      <c r="FFD74" s="705"/>
      <c r="FFE74" s="799"/>
      <c r="FFF74" s="800"/>
      <c r="FFG74" s="800"/>
      <c r="FFH74" s="800"/>
      <c r="FFI74" s="800"/>
      <c r="FFJ74" s="800"/>
      <c r="FFK74" s="705"/>
      <c r="FFL74" s="799"/>
      <c r="FFM74" s="800"/>
      <c r="FFN74" s="800"/>
      <c r="FFO74" s="800"/>
      <c r="FFP74" s="800"/>
      <c r="FFQ74" s="800"/>
      <c r="FFR74" s="705"/>
      <c r="FFS74" s="799"/>
      <c r="FFT74" s="800"/>
      <c r="FFU74" s="800"/>
      <c r="FFV74" s="800"/>
      <c r="FFW74" s="800"/>
      <c r="FFX74" s="800"/>
      <c r="FFY74" s="705"/>
      <c r="FFZ74" s="799"/>
      <c r="FGA74" s="800"/>
      <c r="FGB74" s="800"/>
      <c r="FGC74" s="800"/>
      <c r="FGD74" s="800"/>
      <c r="FGE74" s="800"/>
      <c r="FGF74" s="705"/>
      <c r="FGG74" s="799"/>
      <c r="FGH74" s="800"/>
      <c r="FGI74" s="800"/>
      <c r="FGJ74" s="800"/>
      <c r="FGK74" s="800"/>
      <c r="FGL74" s="800"/>
      <c r="FGM74" s="705"/>
      <c r="FGN74" s="799"/>
      <c r="FGO74" s="800"/>
      <c r="FGP74" s="800"/>
      <c r="FGQ74" s="800"/>
      <c r="FGR74" s="800"/>
      <c r="FGS74" s="800"/>
      <c r="FGT74" s="705"/>
      <c r="FGU74" s="799"/>
      <c r="FGV74" s="800"/>
      <c r="FGW74" s="800"/>
      <c r="FGX74" s="800"/>
      <c r="FGY74" s="800"/>
      <c r="FGZ74" s="800"/>
      <c r="FHA74" s="705"/>
      <c r="FHB74" s="799"/>
      <c r="FHC74" s="800"/>
      <c r="FHD74" s="800"/>
      <c r="FHE74" s="800"/>
      <c r="FHF74" s="800"/>
      <c r="FHG74" s="800"/>
      <c r="FHH74" s="705"/>
      <c r="FHI74" s="799"/>
      <c r="FHJ74" s="800"/>
      <c r="FHK74" s="800"/>
      <c r="FHL74" s="800"/>
      <c r="FHM74" s="800"/>
      <c r="FHN74" s="800"/>
      <c r="FHO74" s="705"/>
      <c r="FHP74" s="799"/>
      <c r="FHQ74" s="800"/>
      <c r="FHR74" s="800"/>
      <c r="FHS74" s="800"/>
      <c r="FHT74" s="800"/>
      <c r="FHU74" s="800"/>
      <c r="FHV74" s="705"/>
      <c r="FHW74" s="799"/>
      <c r="FHX74" s="800"/>
      <c r="FHY74" s="800"/>
      <c r="FHZ74" s="800"/>
      <c r="FIA74" s="800"/>
      <c r="FIB74" s="800"/>
      <c r="FIC74" s="705"/>
      <c r="FID74" s="799"/>
      <c r="FIE74" s="800"/>
      <c r="FIF74" s="800"/>
      <c r="FIG74" s="800"/>
      <c r="FIH74" s="800"/>
      <c r="FII74" s="800"/>
      <c r="FIJ74" s="705"/>
      <c r="FIK74" s="799"/>
      <c r="FIL74" s="800"/>
      <c r="FIM74" s="800"/>
      <c r="FIN74" s="800"/>
      <c r="FIO74" s="800"/>
      <c r="FIP74" s="800"/>
      <c r="FIQ74" s="705"/>
      <c r="FIR74" s="799"/>
      <c r="FIS74" s="800"/>
      <c r="FIT74" s="800"/>
      <c r="FIU74" s="800"/>
      <c r="FIV74" s="800"/>
      <c r="FIW74" s="800"/>
      <c r="FIX74" s="705"/>
      <c r="FIY74" s="799"/>
      <c r="FIZ74" s="800"/>
      <c r="FJA74" s="800"/>
      <c r="FJB74" s="800"/>
      <c r="FJC74" s="800"/>
      <c r="FJD74" s="800"/>
      <c r="FJE74" s="705"/>
      <c r="FJF74" s="799"/>
      <c r="FJG74" s="800"/>
      <c r="FJH74" s="800"/>
      <c r="FJI74" s="800"/>
      <c r="FJJ74" s="800"/>
      <c r="FJK74" s="800"/>
      <c r="FJL74" s="705"/>
      <c r="FJM74" s="799"/>
      <c r="FJN74" s="800"/>
      <c r="FJO74" s="800"/>
      <c r="FJP74" s="800"/>
      <c r="FJQ74" s="800"/>
      <c r="FJR74" s="800"/>
      <c r="FJS74" s="705"/>
      <c r="FJT74" s="799"/>
      <c r="FJU74" s="800"/>
      <c r="FJV74" s="800"/>
      <c r="FJW74" s="800"/>
      <c r="FJX74" s="800"/>
      <c r="FJY74" s="800"/>
      <c r="FJZ74" s="705"/>
      <c r="FKA74" s="799"/>
      <c r="FKB74" s="800"/>
      <c r="FKC74" s="800"/>
      <c r="FKD74" s="800"/>
      <c r="FKE74" s="800"/>
      <c r="FKF74" s="800"/>
      <c r="FKG74" s="705"/>
      <c r="FKH74" s="799"/>
      <c r="FKI74" s="800"/>
      <c r="FKJ74" s="800"/>
      <c r="FKK74" s="800"/>
      <c r="FKL74" s="800"/>
      <c r="FKM74" s="800"/>
      <c r="FKN74" s="705"/>
      <c r="FKO74" s="799"/>
      <c r="FKP74" s="800"/>
      <c r="FKQ74" s="800"/>
      <c r="FKR74" s="800"/>
      <c r="FKS74" s="800"/>
      <c r="FKT74" s="800"/>
      <c r="FKU74" s="705"/>
      <c r="FKV74" s="799"/>
      <c r="FKW74" s="800"/>
      <c r="FKX74" s="800"/>
      <c r="FKY74" s="800"/>
      <c r="FKZ74" s="800"/>
      <c r="FLA74" s="800"/>
      <c r="FLB74" s="705"/>
      <c r="FLC74" s="799"/>
      <c r="FLD74" s="800"/>
      <c r="FLE74" s="800"/>
      <c r="FLF74" s="800"/>
      <c r="FLG74" s="800"/>
      <c r="FLH74" s="800"/>
      <c r="FLI74" s="705"/>
      <c r="FLJ74" s="799"/>
      <c r="FLK74" s="800"/>
      <c r="FLL74" s="800"/>
      <c r="FLM74" s="800"/>
      <c r="FLN74" s="800"/>
      <c r="FLO74" s="800"/>
      <c r="FLP74" s="705"/>
      <c r="FLQ74" s="799"/>
      <c r="FLR74" s="800"/>
      <c r="FLS74" s="800"/>
      <c r="FLT74" s="800"/>
      <c r="FLU74" s="800"/>
      <c r="FLV74" s="800"/>
      <c r="FLW74" s="705"/>
      <c r="FLX74" s="799"/>
      <c r="FLY74" s="800"/>
      <c r="FLZ74" s="800"/>
      <c r="FMA74" s="800"/>
      <c r="FMB74" s="800"/>
      <c r="FMC74" s="800"/>
      <c r="FMD74" s="705"/>
      <c r="FME74" s="799"/>
      <c r="FMF74" s="800"/>
      <c r="FMG74" s="800"/>
      <c r="FMH74" s="800"/>
      <c r="FMI74" s="800"/>
      <c r="FMJ74" s="800"/>
      <c r="FMK74" s="705"/>
      <c r="FML74" s="799"/>
      <c r="FMM74" s="800"/>
      <c r="FMN74" s="800"/>
      <c r="FMO74" s="800"/>
      <c r="FMP74" s="800"/>
      <c r="FMQ74" s="800"/>
      <c r="FMR74" s="705"/>
      <c r="FMS74" s="799"/>
      <c r="FMT74" s="800"/>
      <c r="FMU74" s="800"/>
      <c r="FMV74" s="800"/>
      <c r="FMW74" s="800"/>
      <c r="FMX74" s="800"/>
      <c r="FMY74" s="705"/>
      <c r="FMZ74" s="799"/>
      <c r="FNA74" s="800"/>
      <c r="FNB74" s="800"/>
      <c r="FNC74" s="800"/>
      <c r="FND74" s="800"/>
      <c r="FNE74" s="800"/>
      <c r="FNF74" s="705"/>
      <c r="FNG74" s="799"/>
      <c r="FNH74" s="800"/>
      <c r="FNI74" s="800"/>
      <c r="FNJ74" s="800"/>
      <c r="FNK74" s="800"/>
      <c r="FNL74" s="800"/>
      <c r="FNM74" s="705"/>
      <c r="FNN74" s="799"/>
      <c r="FNO74" s="800"/>
      <c r="FNP74" s="800"/>
      <c r="FNQ74" s="800"/>
      <c r="FNR74" s="800"/>
      <c r="FNS74" s="800"/>
      <c r="FNT74" s="705"/>
      <c r="FNU74" s="799"/>
      <c r="FNV74" s="800"/>
      <c r="FNW74" s="800"/>
      <c r="FNX74" s="800"/>
      <c r="FNY74" s="800"/>
      <c r="FNZ74" s="800"/>
      <c r="FOA74" s="705"/>
      <c r="FOB74" s="799"/>
      <c r="FOC74" s="800"/>
      <c r="FOD74" s="800"/>
      <c r="FOE74" s="800"/>
      <c r="FOF74" s="800"/>
      <c r="FOG74" s="800"/>
      <c r="FOH74" s="705"/>
      <c r="FOI74" s="799"/>
      <c r="FOJ74" s="800"/>
      <c r="FOK74" s="800"/>
      <c r="FOL74" s="800"/>
      <c r="FOM74" s="800"/>
      <c r="FON74" s="800"/>
      <c r="FOO74" s="705"/>
      <c r="FOP74" s="799"/>
      <c r="FOQ74" s="800"/>
      <c r="FOR74" s="800"/>
      <c r="FOS74" s="800"/>
      <c r="FOT74" s="800"/>
      <c r="FOU74" s="800"/>
      <c r="FOV74" s="705"/>
      <c r="FOW74" s="799"/>
      <c r="FOX74" s="800"/>
      <c r="FOY74" s="800"/>
      <c r="FOZ74" s="800"/>
      <c r="FPA74" s="800"/>
      <c r="FPB74" s="800"/>
      <c r="FPC74" s="705"/>
      <c r="FPD74" s="799"/>
      <c r="FPE74" s="800"/>
      <c r="FPF74" s="800"/>
      <c r="FPG74" s="800"/>
      <c r="FPH74" s="800"/>
      <c r="FPI74" s="800"/>
      <c r="FPJ74" s="705"/>
      <c r="FPK74" s="799"/>
      <c r="FPL74" s="800"/>
      <c r="FPM74" s="800"/>
      <c r="FPN74" s="800"/>
      <c r="FPO74" s="800"/>
      <c r="FPP74" s="800"/>
      <c r="FPQ74" s="705"/>
      <c r="FPR74" s="799"/>
      <c r="FPS74" s="800"/>
      <c r="FPT74" s="800"/>
      <c r="FPU74" s="800"/>
      <c r="FPV74" s="800"/>
      <c r="FPW74" s="800"/>
      <c r="FPX74" s="705"/>
      <c r="FPY74" s="799"/>
      <c r="FPZ74" s="800"/>
      <c r="FQA74" s="800"/>
      <c r="FQB74" s="800"/>
      <c r="FQC74" s="800"/>
      <c r="FQD74" s="800"/>
      <c r="FQE74" s="705"/>
      <c r="FQF74" s="799"/>
      <c r="FQG74" s="800"/>
      <c r="FQH74" s="800"/>
      <c r="FQI74" s="800"/>
      <c r="FQJ74" s="800"/>
      <c r="FQK74" s="800"/>
      <c r="FQL74" s="705"/>
      <c r="FQM74" s="799"/>
      <c r="FQN74" s="800"/>
      <c r="FQO74" s="800"/>
      <c r="FQP74" s="800"/>
      <c r="FQQ74" s="800"/>
      <c r="FQR74" s="800"/>
      <c r="FQS74" s="705"/>
      <c r="FQT74" s="799"/>
      <c r="FQU74" s="800"/>
      <c r="FQV74" s="800"/>
      <c r="FQW74" s="800"/>
      <c r="FQX74" s="800"/>
      <c r="FQY74" s="800"/>
      <c r="FQZ74" s="705"/>
      <c r="FRA74" s="799"/>
      <c r="FRB74" s="800"/>
      <c r="FRC74" s="800"/>
      <c r="FRD74" s="800"/>
      <c r="FRE74" s="800"/>
      <c r="FRF74" s="800"/>
      <c r="FRG74" s="705"/>
      <c r="FRH74" s="799"/>
      <c r="FRI74" s="800"/>
      <c r="FRJ74" s="800"/>
      <c r="FRK74" s="800"/>
      <c r="FRL74" s="800"/>
      <c r="FRM74" s="800"/>
      <c r="FRN74" s="705"/>
      <c r="FRO74" s="799"/>
      <c r="FRP74" s="800"/>
      <c r="FRQ74" s="800"/>
      <c r="FRR74" s="800"/>
      <c r="FRS74" s="800"/>
      <c r="FRT74" s="800"/>
      <c r="FRU74" s="705"/>
      <c r="FRV74" s="799"/>
      <c r="FRW74" s="800"/>
      <c r="FRX74" s="800"/>
      <c r="FRY74" s="800"/>
      <c r="FRZ74" s="800"/>
      <c r="FSA74" s="800"/>
      <c r="FSB74" s="705"/>
      <c r="FSC74" s="799"/>
      <c r="FSD74" s="800"/>
      <c r="FSE74" s="800"/>
      <c r="FSF74" s="800"/>
      <c r="FSG74" s="800"/>
      <c r="FSH74" s="800"/>
      <c r="FSI74" s="705"/>
      <c r="FSJ74" s="799"/>
      <c r="FSK74" s="800"/>
      <c r="FSL74" s="800"/>
      <c r="FSM74" s="800"/>
      <c r="FSN74" s="800"/>
      <c r="FSO74" s="800"/>
      <c r="FSP74" s="705"/>
      <c r="FSQ74" s="799"/>
      <c r="FSR74" s="800"/>
      <c r="FSS74" s="800"/>
      <c r="FST74" s="800"/>
      <c r="FSU74" s="800"/>
      <c r="FSV74" s="800"/>
      <c r="FSW74" s="705"/>
      <c r="FSX74" s="799"/>
      <c r="FSY74" s="800"/>
      <c r="FSZ74" s="800"/>
      <c r="FTA74" s="800"/>
      <c r="FTB74" s="800"/>
      <c r="FTC74" s="800"/>
      <c r="FTD74" s="705"/>
      <c r="FTE74" s="799"/>
      <c r="FTF74" s="800"/>
      <c r="FTG74" s="800"/>
      <c r="FTH74" s="800"/>
      <c r="FTI74" s="800"/>
      <c r="FTJ74" s="800"/>
      <c r="FTK74" s="705"/>
      <c r="FTL74" s="799"/>
      <c r="FTM74" s="800"/>
      <c r="FTN74" s="800"/>
      <c r="FTO74" s="800"/>
      <c r="FTP74" s="800"/>
      <c r="FTQ74" s="800"/>
      <c r="FTR74" s="705"/>
      <c r="FTS74" s="799"/>
      <c r="FTT74" s="800"/>
      <c r="FTU74" s="800"/>
      <c r="FTV74" s="800"/>
      <c r="FTW74" s="800"/>
      <c r="FTX74" s="800"/>
      <c r="FTY74" s="705"/>
      <c r="FTZ74" s="799"/>
      <c r="FUA74" s="800"/>
      <c r="FUB74" s="800"/>
      <c r="FUC74" s="800"/>
      <c r="FUD74" s="800"/>
      <c r="FUE74" s="800"/>
      <c r="FUF74" s="705"/>
      <c r="FUG74" s="799"/>
      <c r="FUH74" s="800"/>
      <c r="FUI74" s="800"/>
      <c r="FUJ74" s="800"/>
      <c r="FUK74" s="800"/>
      <c r="FUL74" s="800"/>
      <c r="FUM74" s="705"/>
      <c r="FUN74" s="799"/>
      <c r="FUO74" s="800"/>
      <c r="FUP74" s="800"/>
      <c r="FUQ74" s="800"/>
      <c r="FUR74" s="800"/>
      <c r="FUS74" s="800"/>
      <c r="FUT74" s="705"/>
      <c r="FUU74" s="799"/>
      <c r="FUV74" s="800"/>
      <c r="FUW74" s="800"/>
      <c r="FUX74" s="800"/>
      <c r="FUY74" s="800"/>
      <c r="FUZ74" s="800"/>
      <c r="FVA74" s="705"/>
      <c r="FVB74" s="799"/>
      <c r="FVC74" s="800"/>
      <c r="FVD74" s="800"/>
      <c r="FVE74" s="800"/>
      <c r="FVF74" s="800"/>
      <c r="FVG74" s="800"/>
      <c r="FVH74" s="705"/>
      <c r="FVI74" s="799"/>
      <c r="FVJ74" s="800"/>
      <c r="FVK74" s="800"/>
      <c r="FVL74" s="800"/>
      <c r="FVM74" s="800"/>
      <c r="FVN74" s="800"/>
      <c r="FVO74" s="705"/>
      <c r="FVP74" s="799"/>
      <c r="FVQ74" s="800"/>
      <c r="FVR74" s="800"/>
      <c r="FVS74" s="800"/>
      <c r="FVT74" s="800"/>
      <c r="FVU74" s="800"/>
      <c r="FVV74" s="705"/>
      <c r="FVW74" s="799"/>
      <c r="FVX74" s="800"/>
      <c r="FVY74" s="800"/>
      <c r="FVZ74" s="800"/>
      <c r="FWA74" s="800"/>
      <c r="FWB74" s="800"/>
      <c r="FWC74" s="705"/>
      <c r="FWD74" s="799"/>
      <c r="FWE74" s="800"/>
      <c r="FWF74" s="800"/>
      <c r="FWG74" s="800"/>
      <c r="FWH74" s="800"/>
      <c r="FWI74" s="800"/>
      <c r="FWJ74" s="705"/>
      <c r="FWK74" s="799"/>
      <c r="FWL74" s="800"/>
      <c r="FWM74" s="800"/>
      <c r="FWN74" s="800"/>
      <c r="FWO74" s="800"/>
      <c r="FWP74" s="800"/>
      <c r="FWQ74" s="705"/>
      <c r="FWR74" s="799"/>
      <c r="FWS74" s="800"/>
      <c r="FWT74" s="800"/>
      <c r="FWU74" s="800"/>
      <c r="FWV74" s="800"/>
      <c r="FWW74" s="800"/>
      <c r="FWX74" s="705"/>
      <c r="FWY74" s="799"/>
      <c r="FWZ74" s="800"/>
      <c r="FXA74" s="800"/>
      <c r="FXB74" s="800"/>
      <c r="FXC74" s="800"/>
      <c r="FXD74" s="800"/>
      <c r="FXE74" s="705"/>
      <c r="FXF74" s="799"/>
      <c r="FXG74" s="800"/>
      <c r="FXH74" s="800"/>
      <c r="FXI74" s="800"/>
      <c r="FXJ74" s="800"/>
      <c r="FXK74" s="800"/>
      <c r="FXL74" s="705"/>
      <c r="FXM74" s="799"/>
      <c r="FXN74" s="800"/>
      <c r="FXO74" s="800"/>
      <c r="FXP74" s="800"/>
      <c r="FXQ74" s="800"/>
      <c r="FXR74" s="800"/>
      <c r="FXS74" s="705"/>
      <c r="FXT74" s="799"/>
      <c r="FXU74" s="800"/>
      <c r="FXV74" s="800"/>
      <c r="FXW74" s="800"/>
      <c r="FXX74" s="800"/>
      <c r="FXY74" s="800"/>
      <c r="FXZ74" s="705"/>
      <c r="FYA74" s="799"/>
      <c r="FYB74" s="800"/>
      <c r="FYC74" s="800"/>
      <c r="FYD74" s="800"/>
      <c r="FYE74" s="800"/>
      <c r="FYF74" s="800"/>
      <c r="FYG74" s="705"/>
      <c r="FYH74" s="799"/>
      <c r="FYI74" s="800"/>
      <c r="FYJ74" s="800"/>
      <c r="FYK74" s="800"/>
      <c r="FYL74" s="800"/>
      <c r="FYM74" s="800"/>
      <c r="FYN74" s="705"/>
      <c r="FYO74" s="799"/>
      <c r="FYP74" s="800"/>
      <c r="FYQ74" s="800"/>
      <c r="FYR74" s="800"/>
      <c r="FYS74" s="800"/>
      <c r="FYT74" s="800"/>
      <c r="FYU74" s="705"/>
      <c r="FYV74" s="799"/>
      <c r="FYW74" s="800"/>
      <c r="FYX74" s="800"/>
      <c r="FYY74" s="800"/>
      <c r="FYZ74" s="800"/>
      <c r="FZA74" s="800"/>
      <c r="FZB74" s="705"/>
      <c r="FZC74" s="799"/>
      <c r="FZD74" s="800"/>
      <c r="FZE74" s="800"/>
      <c r="FZF74" s="800"/>
      <c r="FZG74" s="800"/>
      <c r="FZH74" s="800"/>
      <c r="FZI74" s="705"/>
      <c r="FZJ74" s="799"/>
      <c r="FZK74" s="800"/>
      <c r="FZL74" s="800"/>
      <c r="FZM74" s="800"/>
      <c r="FZN74" s="800"/>
      <c r="FZO74" s="800"/>
      <c r="FZP74" s="705"/>
      <c r="FZQ74" s="799"/>
      <c r="FZR74" s="800"/>
      <c r="FZS74" s="800"/>
      <c r="FZT74" s="800"/>
      <c r="FZU74" s="800"/>
      <c r="FZV74" s="800"/>
      <c r="FZW74" s="705"/>
      <c r="FZX74" s="799"/>
      <c r="FZY74" s="800"/>
      <c r="FZZ74" s="800"/>
      <c r="GAA74" s="800"/>
      <c r="GAB74" s="800"/>
      <c r="GAC74" s="800"/>
      <c r="GAD74" s="705"/>
      <c r="GAE74" s="799"/>
      <c r="GAF74" s="800"/>
      <c r="GAG74" s="800"/>
      <c r="GAH74" s="800"/>
      <c r="GAI74" s="800"/>
      <c r="GAJ74" s="800"/>
      <c r="GAK74" s="705"/>
      <c r="GAL74" s="799"/>
      <c r="GAM74" s="800"/>
      <c r="GAN74" s="800"/>
      <c r="GAO74" s="800"/>
      <c r="GAP74" s="800"/>
      <c r="GAQ74" s="800"/>
      <c r="GAR74" s="705"/>
      <c r="GAS74" s="799"/>
      <c r="GAT74" s="800"/>
      <c r="GAU74" s="800"/>
      <c r="GAV74" s="800"/>
      <c r="GAW74" s="800"/>
      <c r="GAX74" s="800"/>
      <c r="GAY74" s="705"/>
      <c r="GAZ74" s="799"/>
      <c r="GBA74" s="800"/>
      <c r="GBB74" s="800"/>
      <c r="GBC74" s="800"/>
      <c r="GBD74" s="800"/>
      <c r="GBE74" s="800"/>
      <c r="GBF74" s="705"/>
      <c r="GBG74" s="799"/>
      <c r="GBH74" s="800"/>
      <c r="GBI74" s="800"/>
      <c r="GBJ74" s="800"/>
      <c r="GBK74" s="800"/>
      <c r="GBL74" s="800"/>
      <c r="GBM74" s="705"/>
      <c r="GBN74" s="799"/>
      <c r="GBO74" s="800"/>
      <c r="GBP74" s="800"/>
      <c r="GBQ74" s="800"/>
      <c r="GBR74" s="800"/>
      <c r="GBS74" s="800"/>
      <c r="GBT74" s="705"/>
      <c r="GBU74" s="799"/>
      <c r="GBV74" s="800"/>
      <c r="GBW74" s="800"/>
      <c r="GBX74" s="800"/>
      <c r="GBY74" s="800"/>
      <c r="GBZ74" s="800"/>
      <c r="GCA74" s="705"/>
      <c r="GCB74" s="799"/>
      <c r="GCC74" s="800"/>
      <c r="GCD74" s="800"/>
      <c r="GCE74" s="800"/>
      <c r="GCF74" s="800"/>
      <c r="GCG74" s="800"/>
      <c r="GCH74" s="705"/>
      <c r="GCI74" s="799"/>
      <c r="GCJ74" s="800"/>
      <c r="GCK74" s="800"/>
      <c r="GCL74" s="800"/>
      <c r="GCM74" s="800"/>
      <c r="GCN74" s="800"/>
      <c r="GCO74" s="705"/>
      <c r="GCP74" s="799"/>
      <c r="GCQ74" s="800"/>
      <c r="GCR74" s="800"/>
      <c r="GCS74" s="800"/>
      <c r="GCT74" s="800"/>
      <c r="GCU74" s="800"/>
      <c r="GCV74" s="705"/>
      <c r="GCW74" s="799"/>
      <c r="GCX74" s="800"/>
      <c r="GCY74" s="800"/>
      <c r="GCZ74" s="800"/>
      <c r="GDA74" s="800"/>
      <c r="GDB74" s="800"/>
      <c r="GDC74" s="705"/>
      <c r="GDD74" s="799"/>
      <c r="GDE74" s="800"/>
      <c r="GDF74" s="800"/>
      <c r="GDG74" s="800"/>
      <c r="GDH74" s="800"/>
      <c r="GDI74" s="800"/>
      <c r="GDJ74" s="705"/>
      <c r="GDK74" s="799"/>
      <c r="GDL74" s="800"/>
      <c r="GDM74" s="800"/>
      <c r="GDN74" s="800"/>
      <c r="GDO74" s="800"/>
      <c r="GDP74" s="800"/>
      <c r="GDQ74" s="705"/>
      <c r="GDR74" s="799"/>
      <c r="GDS74" s="800"/>
      <c r="GDT74" s="800"/>
      <c r="GDU74" s="800"/>
      <c r="GDV74" s="800"/>
      <c r="GDW74" s="800"/>
      <c r="GDX74" s="705"/>
      <c r="GDY74" s="799"/>
      <c r="GDZ74" s="800"/>
      <c r="GEA74" s="800"/>
      <c r="GEB74" s="800"/>
      <c r="GEC74" s="800"/>
      <c r="GED74" s="800"/>
      <c r="GEE74" s="705"/>
      <c r="GEF74" s="799"/>
      <c r="GEG74" s="800"/>
      <c r="GEH74" s="800"/>
      <c r="GEI74" s="800"/>
      <c r="GEJ74" s="800"/>
      <c r="GEK74" s="800"/>
      <c r="GEL74" s="705"/>
      <c r="GEM74" s="799"/>
      <c r="GEN74" s="800"/>
      <c r="GEO74" s="800"/>
      <c r="GEP74" s="800"/>
      <c r="GEQ74" s="800"/>
      <c r="GER74" s="800"/>
      <c r="GES74" s="705"/>
      <c r="GET74" s="799"/>
      <c r="GEU74" s="800"/>
      <c r="GEV74" s="800"/>
      <c r="GEW74" s="800"/>
      <c r="GEX74" s="800"/>
      <c r="GEY74" s="800"/>
      <c r="GEZ74" s="705"/>
      <c r="GFA74" s="799"/>
      <c r="GFB74" s="800"/>
      <c r="GFC74" s="800"/>
      <c r="GFD74" s="800"/>
      <c r="GFE74" s="800"/>
      <c r="GFF74" s="800"/>
      <c r="GFG74" s="705"/>
      <c r="GFH74" s="799"/>
      <c r="GFI74" s="800"/>
      <c r="GFJ74" s="800"/>
      <c r="GFK74" s="800"/>
      <c r="GFL74" s="800"/>
      <c r="GFM74" s="800"/>
      <c r="GFN74" s="705"/>
      <c r="GFO74" s="799"/>
      <c r="GFP74" s="800"/>
      <c r="GFQ74" s="800"/>
      <c r="GFR74" s="800"/>
      <c r="GFS74" s="800"/>
      <c r="GFT74" s="800"/>
      <c r="GFU74" s="705"/>
      <c r="GFV74" s="799"/>
      <c r="GFW74" s="800"/>
      <c r="GFX74" s="800"/>
      <c r="GFY74" s="800"/>
      <c r="GFZ74" s="800"/>
      <c r="GGA74" s="800"/>
      <c r="GGB74" s="705"/>
      <c r="GGC74" s="799"/>
      <c r="GGD74" s="800"/>
      <c r="GGE74" s="800"/>
      <c r="GGF74" s="800"/>
      <c r="GGG74" s="800"/>
      <c r="GGH74" s="800"/>
      <c r="GGI74" s="705"/>
      <c r="GGJ74" s="799"/>
      <c r="GGK74" s="800"/>
      <c r="GGL74" s="800"/>
      <c r="GGM74" s="800"/>
      <c r="GGN74" s="800"/>
      <c r="GGO74" s="800"/>
      <c r="GGP74" s="705"/>
      <c r="GGQ74" s="799"/>
      <c r="GGR74" s="800"/>
      <c r="GGS74" s="800"/>
      <c r="GGT74" s="800"/>
      <c r="GGU74" s="800"/>
      <c r="GGV74" s="800"/>
      <c r="GGW74" s="705"/>
      <c r="GGX74" s="799"/>
      <c r="GGY74" s="800"/>
      <c r="GGZ74" s="800"/>
      <c r="GHA74" s="800"/>
      <c r="GHB74" s="800"/>
      <c r="GHC74" s="800"/>
      <c r="GHD74" s="705"/>
      <c r="GHE74" s="799"/>
      <c r="GHF74" s="800"/>
      <c r="GHG74" s="800"/>
      <c r="GHH74" s="800"/>
      <c r="GHI74" s="800"/>
      <c r="GHJ74" s="800"/>
      <c r="GHK74" s="705"/>
      <c r="GHL74" s="799"/>
      <c r="GHM74" s="800"/>
      <c r="GHN74" s="800"/>
      <c r="GHO74" s="800"/>
      <c r="GHP74" s="800"/>
      <c r="GHQ74" s="800"/>
      <c r="GHR74" s="705"/>
      <c r="GHS74" s="799"/>
      <c r="GHT74" s="800"/>
      <c r="GHU74" s="800"/>
      <c r="GHV74" s="800"/>
      <c r="GHW74" s="800"/>
      <c r="GHX74" s="800"/>
      <c r="GHY74" s="705"/>
      <c r="GHZ74" s="799"/>
      <c r="GIA74" s="800"/>
      <c r="GIB74" s="800"/>
      <c r="GIC74" s="800"/>
      <c r="GID74" s="800"/>
      <c r="GIE74" s="800"/>
      <c r="GIF74" s="705"/>
      <c r="GIG74" s="799"/>
      <c r="GIH74" s="800"/>
      <c r="GII74" s="800"/>
      <c r="GIJ74" s="800"/>
      <c r="GIK74" s="800"/>
      <c r="GIL74" s="800"/>
      <c r="GIM74" s="705"/>
      <c r="GIN74" s="799"/>
      <c r="GIO74" s="800"/>
      <c r="GIP74" s="800"/>
      <c r="GIQ74" s="800"/>
      <c r="GIR74" s="800"/>
      <c r="GIS74" s="800"/>
      <c r="GIT74" s="705"/>
      <c r="GIU74" s="799"/>
      <c r="GIV74" s="800"/>
      <c r="GIW74" s="800"/>
      <c r="GIX74" s="800"/>
      <c r="GIY74" s="800"/>
      <c r="GIZ74" s="800"/>
      <c r="GJA74" s="705"/>
      <c r="GJB74" s="799"/>
      <c r="GJC74" s="800"/>
      <c r="GJD74" s="800"/>
      <c r="GJE74" s="800"/>
      <c r="GJF74" s="800"/>
      <c r="GJG74" s="800"/>
      <c r="GJH74" s="705"/>
      <c r="GJI74" s="799"/>
      <c r="GJJ74" s="800"/>
      <c r="GJK74" s="800"/>
      <c r="GJL74" s="800"/>
      <c r="GJM74" s="800"/>
      <c r="GJN74" s="800"/>
      <c r="GJO74" s="705"/>
      <c r="GJP74" s="799"/>
      <c r="GJQ74" s="800"/>
      <c r="GJR74" s="800"/>
      <c r="GJS74" s="800"/>
      <c r="GJT74" s="800"/>
      <c r="GJU74" s="800"/>
      <c r="GJV74" s="705"/>
      <c r="GJW74" s="799"/>
      <c r="GJX74" s="800"/>
      <c r="GJY74" s="800"/>
      <c r="GJZ74" s="800"/>
      <c r="GKA74" s="800"/>
      <c r="GKB74" s="800"/>
      <c r="GKC74" s="705"/>
      <c r="GKD74" s="799"/>
      <c r="GKE74" s="800"/>
      <c r="GKF74" s="800"/>
      <c r="GKG74" s="800"/>
      <c r="GKH74" s="800"/>
      <c r="GKI74" s="800"/>
      <c r="GKJ74" s="705"/>
      <c r="GKK74" s="799"/>
      <c r="GKL74" s="800"/>
      <c r="GKM74" s="800"/>
      <c r="GKN74" s="800"/>
      <c r="GKO74" s="800"/>
      <c r="GKP74" s="800"/>
      <c r="GKQ74" s="705"/>
      <c r="GKR74" s="799"/>
      <c r="GKS74" s="800"/>
      <c r="GKT74" s="800"/>
      <c r="GKU74" s="800"/>
      <c r="GKV74" s="800"/>
      <c r="GKW74" s="800"/>
      <c r="GKX74" s="705"/>
      <c r="GKY74" s="799"/>
      <c r="GKZ74" s="800"/>
      <c r="GLA74" s="800"/>
      <c r="GLB74" s="800"/>
      <c r="GLC74" s="800"/>
      <c r="GLD74" s="800"/>
      <c r="GLE74" s="705"/>
      <c r="GLF74" s="799"/>
      <c r="GLG74" s="800"/>
      <c r="GLH74" s="800"/>
      <c r="GLI74" s="800"/>
      <c r="GLJ74" s="800"/>
      <c r="GLK74" s="800"/>
      <c r="GLL74" s="705"/>
      <c r="GLM74" s="799"/>
      <c r="GLN74" s="800"/>
      <c r="GLO74" s="800"/>
      <c r="GLP74" s="800"/>
      <c r="GLQ74" s="800"/>
      <c r="GLR74" s="800"/>
      <c r="GLS74" s="705"/>
      <c r="GLT74" s="799"/>
      <c r="GLU74" s="800"/>
      <c r="GLV74" s="800"/>
      <c r="GLW74" s="800"/>
      <c r="GLX74" s="800"/>
      <c r="GLY74" s="800"/>
      <c r="GLZ74" s="705"/>
      <c r="GMA74" s="799"/>
      <c r="GMB74" s="800"/>
      <c r="GMC74" s="800"/>
      <c r="GMD74" s="800"/>
      <c r="GME74" s="800"/>
      <c r="GMF74" s="800"/>
      <c r="GMG74" s="705"/>
      <c r="GMH74" s="799"/>
      <c r="GMI74" s="800"/>
      <c r="GMJ74" s="800"/>
      <c r="GMK74" s="800"/>
      <c r="GML74" s="800"/>
      <c r="GMM74" s="800"/>
      <c r="GMN74" s="705"/>
      <c r="GMO74" s="799"/>
      <c r="GMP74" s="800"/>
      <c r="GMQ74" s="800"/>
      <c r="GMR74" s="800"/>
      <c r="GMS74" s="800"/>
      <c r="GMT74" s="800"/>
      <c r="GMU74" s="705"/>
      <c r="GMV74" s="799"/>
      <c r="GMW74" s="800"/>
      <c r="GMX74" s="800"/>
      <c r="GMY74" s="800"/>
      <c r="GMZ74" s="800"/>
      <c r="GNA74" s="800"/>
      <c r="GNB74" s="705"/>
      <c r="GNC74" s="799"/>
      <c r="GND74" s="800"/>
      <c r="GNE74" s="800"/>
      <c r="GNF74" s="800"/>
      <c r="GNG74" s="800"/>
      <c r="GNH74" s="800"/>
      <c r="GNI74" s="705"/>
      <c r="GNJ74" s="799"/>
      <c r="GNK74" s="800"/>
      <c r="GNL74" s="800"/>
      <c r="GNM74" s="800"/>
      <c r="GNN74" s="800"/>
      <c r="GNO74" s="800"/>
      <c r="GNP74" s="705"/>
      <c r="GNQ74" s="799"/>
      <c r="GNR74" s="800"/>
      <c r="GNS74" s="800"/>
      <c r="GNT74" s="800"/>
      <c r="GNU74" s="800"/>
      <c r="GNV74" s="800"/>
      <c r="GNW74" s="705"/>
      <c r="GNX74" s="799"/>
      <c r="GNY74" s="800"/>
      <c r="GNZ74" s="800"/>
      <c r="GOA74" s="800"/>
      <c r="GOB74" s="800"/>
      <c r="GOC74" s="800"/>
      <c r="GOD74" s="705"/>
      <c r="GOE74" s="799"/>
      <c r="GOF74" s="800"/>
      <c r="GOG74" s="800"/>
      <c r="GOH74" s="800"/>
      <c r="GOI74" s="800"/>
      <c r="GOJ74" s="800"/>
      <c r="GOK74" s="705"/>
      <c r="GOL74" s="799"/>
      <c r="GOM74" s="800"/>
      <c r="GON74" s="800"/>
      <c r="GOO74" s="800"/>
      <c r="GOP74" s="800"/>
      <c r="GOQ74" s="800"/>
      <c r="GOR74" s="705"/>
      <c r="GOS74" s="799"/>
      <c r="GOT74" s="800"/>
      <c r="GOU74" s="800"/>
      <c r="GOV74" s="800"/>
      <c r="GOW74" s="800"/>
      <c r="GOX74" s="800"/>
      <c r="GOY74" s="705"/>
      <c r="GOZ74" s="799"/>
      <c r="GPA74" s="800"/>
      <c r="GPB74" s="800"/>
      <c r="GPC74" s="800"/>
      <c r="GPD74" s="800"/>
      <c r="GPE74" s="800"/>
      <c r="GPF74" s="705"/>
      <c r="GPG74" s="799"/>
      <c r="GPH74" s="800"/>
      <c r="GPI74" s="800"/>
      <c r="GPJ74" s="800"/>
      <c r="GPK74" s="800"/>
      <c r="GPL74" s="800"/>
      <c r="GPM74" s="705"/>
      <c r="GPN74" s="799"/>
      <c r="GPO74" s="800"/>
      <c r="GPP74" s="800"/>
      <c r="GPQ74" s="800"/>
      <c r="GPR74" s="800"/>
      <c r="GPS74" s="800"/>
      <c r="GPT74" s="705"/>
      <c r="GPU74" s="799"/>
      <c r="GPV74" s="800"/>
      <c r="GPW74" s="800"/>
      <c r="GPX74" s="800"/>
      <c r="GPY74" s="800"/>
      <c r="GPZ74" s="800"/>
      <c r="GQA74" s="705"/>
      <c r="GQB74" s="799"/>
      <c r="GQC74" s="800"/>
      <c r="GQD74" s="800"/>
      <c r="GQE74" s="800"/>
      <c r="GQF74" s="800"/>
      <c r="GQG74" s="800"/>
      <c r="GQH74" s="705"/>
      <c r="GQI74" s="799"/>
      <c r="GQJ74" s="800"/>
      <c r="GQK74" s="800"/>
      <c r="GQL74" s="800"/>
      <c r="GQM74" s="800"/>
      <c r="GQN74" s="800"/>
      <c r="GQO74" s="705"/>
      <c r="GQP74" s="799"/>
      <c r="GQQ74" s="800"/>
      <c r="GQR74" s="800"/>
      <c r="GQS74" s="800"/>
      <c r="GQT74" s="800"/>
      <c r="GQU74" s="800"/>
      <c r="GQV74" s="705"/>
      <c r="GQW74" s="799"/>
      <c r="GQX74" s="800"/>
      <c r="GQY74" s="800"/>
      <c r="GQZ74" s="800"/>
      <c r="GRA74" s="800"/>
      <c r="GRB74" s="800"/>
      <c r="GRC74" s="705"/>
      <c r="GRD74" s="799"/>
      <c r="GRE74" s="800"/>
      <c r="GRF74" s="800"/>
      <c r="GRG74" s="800"/>
      <c r="GRH74" s="800"/>
      <c r="GRI74" s="800"/>
      <c r="GRJ74" s="705"/>
      <c r="GRK74" s="799"/>
      <c r="GRL74" s="800"/>
      <c r="GRM74" s="800"/>
      <c r="GRN74" s="800"/>
      <c r="GRO74" s="800"/>
      <c r="GRP74" s="800"/>
      <c r="GRQ74" s="705"/>
      <c r="GRR74" s="799"/>
      <c r="GRS74" s="800"/>
      <c r="GRT74" s="800"/>
      <c r="GRU74" s="800"/>
      <c r="GRV74" s="800"/>
      <c r="GRW74" s="800"/>
      <c r="GRX74" s="705"/>
      <c r="GRY74" s="799"/>
      <c r="GRZ74" s="800"/>
      <c r="GSA74" s="800"/>
      <c r="GSB74" s="800"/>
      <c r="GSC74" s="800"/>
      <c r="GSD74" s="800"/>
      <c r="GSE74" s="705"/>
      <c r="GSF74" s="799"/>
      <c r="GSG74" s="800"/>
      <c r="GSH74" s="800"/>
      <c r="GSI74" s="800"/>
      <c r="GSJ74" s="800"/>
      <c r="GSK74" s="800"/>
      <c r="GSL74" s="705"/>
      <c r="GSM74" s="799"/>
      <c r="GSN74" s="800"/>
      <c r="GSO74" s="800"/>
      <c r="GSP74" s="800"/>
      <c r="GSQ74" s="800"/>
      <c r="GSR74" s="800"/>
      <c r="GSS74" s="705"/>
      <c r="GST74" s="799"/>
      <c r="GSU74" s="800"/>
      <c r="GSV74" s="800"/>
      <c r="GSW74" s="800"/>
      <c r="GSX74" s="800"/>
      <c r="GSY74" s="800"/>
      <c r="GSZ74" s="705"/>
      <c r="GTA74" s="799"/>
      <c r="GTB74" s="800"/>
      <c r="GTC74" s="800"/>
      <c r="GTD74" s="800"/>
      <c r="GTE74" s="800"/>
      <c r="GTF74" s="800"/>
      <c r="GTG74" s="705"/>
      <c r="GTH74" s="799"/>
      <c r="GTI74" s="800"/>
      <c r="GTJ74" s="800"/>
      <c r="GTK74" s="800"/>
      <c r="GTL74" s="800"/>
      <c r="GTM74" s="800"/>
      <c r="GTN74" s="705"/>
      <c r="GTO74" s="799"/>
      <c r="GTP74" s="800"/>
      <c r="GTQ74" s="800"/>
      <c r="GTR74" s="800"/>
      <c r="GTS74" s="800"/>
      <c r="GTT74" s="800"/>
      <c r="GTU74" s="705"/>
      <c r="GTV74" s="799"/>
      <c r="GTW74" s="800"/>
      <c r="GTX74" s="800"/>
      <c r="GTY74" s="800"/>
      <c r="GTZ74" s="800"/>
      <c r="GUA74" s="800"/>
      <c r="GUB74" s="705"/>
      <c r="GUC74" s="799"/>
      <c r="GUD74" s="800"/>
      <c r="GUE74" s="800"/>
      <c r="GUF74" s="800"/>
      <c r="GUG74" s="800"/>
      <c r="GUH74" s="800"/>
      <c r="GUI74" s="705"/>
      <c r="GUJ74" s="799"/>
      <c r="GUK74" s="800"/>
      <c r="GUL74" s="800"/>
      <c r="GUM74" s="800"/>
      <c r="GUN74" s="800"/>
      <c r="GUO74" s="800"/>
      <c r="GUP74" s="705"/>
      <c r="GUQ74" s="799"/>
      <c r="GUR74" s="800"/>
      <c r="GUS74" s="800"/>
      <c r="GUT74" s="800"/>
      <c r="GUU74" s="800"/>
      <c r="GUV74" s="800"/>
      <c r="GUW74" s="705"/>
      <c r="GUX74" s="799"/>
      <c r="GUY74" s="800"/>
      <c r="GUZ74" s="800"/>
      <c r="GVA74" s="800"/>
      <c r="GVB74" s="800"/>
      <c r="GVC74" s="800"/>
      <c r="GVD74" s="705"/>
      <c r="GVE74" s="799"/>
      <c r="GVF74" s="800"/>
      <c r="GVG74" s="800"/>
      <c r="GVH74" s="800"/>
      <c r="GVI74" s="800"/>
      <c r="GVJ74" s="800"/>
      <c r="GVK74" s="705"/>
      <c r="GVL74" s="799"/>
      <c r="GVM74" s="800"/>
      <c r="GVN74" s="800"/>
      <c r="GVO74" s="800"/>
      <c r="GVP74" s="800"/>
      <c r="GVQ74" s="800"/>
      <c r="GVR74" s="705"/>
      <c r="GVS74" s="799"/>
      <c r="GVT74" s="800"/>
      <c r="GVU74" s="800"/>
      <c r="GVV74" s="800"/>
      <c r="GVW74" s="800"/>
      <c r="GVX74" s="800"/>
      <c r="GVY74" s="705"/>
      <c r="GVZ74" s="799"/>
      <c r="GWA74" s="800"/>
      <c r="GWB74" s="800"/>
      <c r="GWC74" s="800"/>
      <c r="GWD74" s="800"/>
      <c r="GWE74" s="800"/>
      <c r="GWF74" s="705"/>
      <c r="GWG74" s="799"/>
      <c r="GWH74" s="800"/>
      <c r="GWI74" s="800"/>
      <c r="GWJ74" s="800"/>
      <c r="GWK74" s="800"/>
      <c r="GWL74" s="800"/>
      <c r="GWM74" s="705"/>
      <c r="GWN74" s="799"/>
      <c r="GWO74" s="800"/>
      <c r="GWP74" s="800"/>
      <c r="GWQ74" s="800"/>
      <c r="GWR74" s="800"/>
      <c r="GWS74" s="800"/>
      <c r="GWT74" s="705"/>
      <c r="GWU74" s="799"/>
      <c r="GWV74" s="800"/>
      <c r="GWW74" s="800"/>
      <c r="GWX74" s="800"/>
      <c r="GWY74" s="800"/>
      <c r="GWZ74" s="800"/>
      <c r="GXA74" s="705"/>
      <c r="GXB74" s="799"/>
      <c r="GXC74" s="800"/>
      <c r="GXD74" s="800"/>
      <c r="GXE74" s="800"/>
      <c r="GXF74" s="800"/>
      <c r="GXG74" s="800"/>
      <c r="GXH74" s="705"/>
      <c r="GXI74" s="799"/>
      <c r="GXJ74" s="800"/>
      <c r="GXK74" s="800"/>
      <c r="GXL74" s="800"/>
      <c r="GXM74" s="800"/>
      <c r="GXN74" s="800"/>
      <c r="GXO74" s="705"/>
      <c r="GXP74" s="799"/>
      <c r="GXQ74" s="800"/>
      <c r="GXR74" s="800"/>
      <c r="GXS74" s="800"/>
      <c r="GXT74" s="800"/>
      <c r="GXU74" s="800"/>
      <c r="GXV74" s="705"/>
      <c r="GXW74" s="799"/>
      <c r="GXX74" s="800"/>
      <c r="GXY74" s="800"/>
      <c r="GXZ74" s="800"/>
      <c r="GYA74" s="800"/>
      <c r="GYB74" s="800"/>
      <c r="GYC74" s="705"/>
      <c r="GYD74" s="799"/>
      <c r="GYE74" s="800"/>
      <c r="GYF74" s="800"/>
      <c r="GYG74" s="800"/>
      <c r="GYH74" s="800"/>
      <c r="GYI74" s="800"/>
      <c r="GYJ74" s="705"/>
      <c r="GYK74" s="799"/>
      <c r="GYL74" s="800"/>
      <c r="GYM74" s="800"/>
      <c r="GYN74" s="800"/>
      <c r="GYO74" s="800"/>
      <c r="GYP74" s="800"/>
      <c r="GYQ74" s="705"/>
      <c r="GYR74" s="799"/>
      <c r="GYS74" s="800"/>
      <c r="GYT74" s="800"/>
      <c r="GYU74" s="800"/>
      <c r="GYV74" s="800"/>
      <c r="GYW74" s="800"/>
      <c r="GYX74" s="705"/>
      <c r="GYY74" s="799"/>
      <c r="GYZ74" s="800"/>
      <c r="GZA74" s="800"/>
      <c r="GZB74" s="800"/>
      <c r="GZC74" s="800"/>
      <c r="GZD74" s="800"/>
      <c r="GZE74" s="705"/>
      <c r="GZF74" s="799"/>
      <c r="GZG74" s="800"/>
      <c r="GZH74" s="800"/>
      <c r="GZI74" s="800"/>
      <c r="GZJ74" s="800"/>
      <c r="GZK74" s="800"/>
      <c r="GZL74" s="705"/>
      <c r="GZM74" s="799"/>
      <c r="GZN74" s="800"/>
      <c r="GZO74" s="800"/>
      <c r="GZP74" s="800"/>
      <c r="GZQ74" s="800"/>
      <c r="GZR74" s="800"/>
      <c r="GZS74" s="705"/>
      <c r="GZT74" s="799"/>
      <c r="GZU74" s="800"/>
      <c r="GZV74" s="800"/>
      <c r="GZW74" s="800"/>
      <c r="GZX74" s="800"/>
      <c r="GZY74" s="800"/>
      <c r="GZZ74" s="705"/>
      <c r="HAA74" s="799"/>
      <c r="HAB74" s="800"/>
      <c r="HAC74" s="800"/>
      <c r="HAD74" s="800"/>
      <c r="HAE74" s="800"/>
      <c r="HAF74" s="800"/>
      <c r="HAG74" s="705"/>
      <c r="HAH74" s="799"/>
      <c r="HAI74" s="800"/>
      <c r="HAJ74" s="800"/>
      <c r="HAK74" s="800"/>
      <c r="HAL74" s="800"/>
      <c r="HAM74" s="800"/>
      <c r="HAN74" s="705"/>
      <c r="HAO74" s="799"/>
      <c r="HAP74" s="800"/>
      <c r="HAQ74" s="800"/>
      <c r="HAR74" s="800"/>
      <c r="HAS74" s="800"/>
      <c r="HAT74" s="800"/>
      <c r="HAU74" s="705"/>
      <c r="HAV74" s="799"/>
      <c r="HAW74" s="800"/>
      <c r="HAX74" s="800"/>
      <c r="HAY74" s="800"/>
      <c r="HAZ74" s="800"/>
      <c r="HBA74" s="800"/>
      <c r="HBB74" s="705"/>
      <c r="HBC74" s="799"/>
      <c r="HBD74" s="800"/>
      <c r="HBE74" s="800"/>
      <c r="HBF74" s="800"/>
      <c r="HBG74" s="800"/>
      <c r="HBH74" s="800"/>
      <c r="HBI74" s="705"/>
      <c r="HBJ74" s="799"/>
      <c r="HBK74" s="800"/>
      <c r="HBL74" s="800"/>
      <c r="HBM74" s="800"/>
      <c r="HBN74" s="800"/>
      <c r="HBO74" s="800"/>
      <c r="HBP74" s="705"/>
      <c r="HBQ74" s="799"/>
      <c r="HBR74" s="800"/>
      <c r="HBS74" s="800"/>
      <c r="HBT74" s="800"/>
      <c r="HBU74" s="800"/>
      <c r="HBV74" s="800"/>
      <c r="HBW74" s="705"/>
      <c r="HBX74" s="799"/>
      <c r="HBY74" s="800"/>
      <c r="HBZ74" s="800"/>
      <c r="HCA74" s="800"/>
      <c r="HCB74" s="800"/>
      <c r="HCC74" s="800"/>
      <c r="HCD74" s="705"/>
      <c r="HCE74" s="799"/>
      <c r="HCF74" s="800"/>
      <c r="HCG74" s="800"/>
      <c r="HCH74" s="800"/>
      <c r="HCI74" s="800"/>
      <c r="HCJ74" s="800"/>
      <c r="HCK74" s="705"/>
      <c r="HCL74" s="799"/>
      <c r="HCM74" s="800"/>
      <c r="HCN74" s="800"/>
      <c r="HCO74" s="800"/>
      <c r="HCP74" s="800"/>
      <c r="HCQ74" s="800"/>
      <c r="HCR74" s="705"/>
      <c r="HCS74" s="799"/>
      <c r="HCT74" s="800"/>
      <c r="HCU74" s="800"/>
      <c r="HCV74" s="800"/>
      <c r="HCW74" s="800"/>
      <c r="HCX74" s="800"/>
      <c r="HCY74" s="705"/>
      <c r="HCZ74" s="799"/>
      <c r="HDA74" s="800"/>
      <c r="HDB74" s="800"/>
      <c r="HDC74" s="800"/>
      <c r="HDD74" s="800"/>
      <c r="HDE74" s="800"/>
      <c r="HDF74" s="705"/>
      <c r="HDG74" s="799"/>
      <c r="HDH74" s="800"/>
      <c r="HDI74" s="800"/>
      <c r="HDJ74" s="800"/>
      <c r="HDK74" s="800"/>
      <c r="HDL74" s="800"/>
      <c r="HDM74" s="705"/>
      <c r="HDN74" s="799"/>
      <c r="HDO74" s="800"/>
      <c r="HDP74" s="800"/>
      <c r="HDQ74" s="800"/>
      <c r="HDR74" s="800"/>
      <c r="HDS74" s="800"/>
      <c r="HDT74" s="705"/>
      <c r="HDU74" s="799"/>
      <c r="HDV74" s="800"/>
      <c r="HDW74" s="800"/>
      <c r="HDX74" s="800"/>
      <c r="HDY74" s="800"/>
      <c r="HDZ74" s="800"/>
      <c r="HEA74" s="705"/>
      <c r="HEB74" s="799"/>
      <c r="HEC74" s="800"/>
      <c r="HED74" s="800"/>
      <c r="HEE74" s="800"/>
      <c r="HEF74" s="800"/>
      <c r="HEG74" s="800"/>
      <c r="HEH74" s="705"/>
      <c r="HEI74" s="799"/>
      <c r="HEJ74" s="800"/>
      <c r="HEK74" s="800"/>
      <c r="HEL74" s="800"/>
      <c r="HEM74" s="800"/>
      <c r="HEN74" s="800"/>
      <c r="HEO74" s="705"/>
      <c r="HEP74" s="799"/>
      <c r="HEQ74" s="800"/>
      <c r="HER74" s="800"/>
      <c r="HES74" s="800"/>
      <c r="HET74" s="800"/>
      <c r="HEU74" s="800"/>
      <c r="HEV74" s="705"/>
      <c r="HEW74" s="799"/>
      <c r="HEX74" s="800"/>
      <c r="HEY74" s="800"/>
      <c r="HEZ74" s="800"/>
      <c r="HFA74" s="800"/>
      <c r="HFB74" s="800"/>
      <c r="HFC74" s="705"/>
      <c r="HFD74" s="799"/>
      <c r="HFE74" s="800"/>
      <c r="HFF74" s="800"/>
      <c r="HFG74" s="800"/>
      <c r="HFH74" s="800"/>
      <c r="HFI74" s="800"/>
      <c r="HFJ74" s="705"/>
      <c r="HFK74" s="799"/>
      <c r="HFL74" s="800"/>
      <c r="HFM74" s="800"/>
      <c r="HFN74" s="800"/>
      <c r="HFO74" s="800"/>
      <c r="HFP74" s="800"/>
      <c r="HFQ74" s="705"/>
      <c r="HFR74" s="799"/>
      <c r="HFS74" s="800"/>
      <c r="HFT74" s="800"/>
      <c r="HFU74" s="800"/>
      <c r="HFV74" s="800"/>
      <c r="HFW74" s="800"/>
      <c r="HFX74" s="705"/>
      <c r="HFY74" s="799"/>
      <c r="HFZ74" s="800"/>
      <c r="HGA74" s="800"/>
      <c r="HGB74" s="800"/>
      <c r="HGC74" s="800"/>
      <c r="HGD74" s="800"/>
      <c r="HGE74" s="705"/>
      <c r="HGF74" s="799"/>
      <c r="HGG74" s="800"/>
      <c r="HGH74" s="800"/>
      <c r="HGI74" s="800"/>
      <c r="HGJ74" s="800"/>
      <c r="HGK74" s="800"/>
      <c r="HGL74" s="705"/>
      <c r="HGM74" s="799"/>
      <c r="HGN74" s="800"/>
      <c r="HGO74" s="800"/>
      <c r="HGP74" s="800"/>
      <c r="HGQ74" s="800"/>
      <c r="HGR74" s="800"/>
      <c r="HGS74" s="705"/>
      <c r="HGT74" s="799"/>
      <c r="HGU74" s="800"/>
      <c r="HGV74" s="800"/>
      <c r="HGW74" s="800"/>
      <c r="HGX74" s="800"/>
      <c r="HGY74" s="800"/>
      <c r="HGZ74" s="705"/>
      <c r="HHA74" s="799"/>
      <c r="HHB74" s="800"/>
      <c r="HHC74" s="800"/>
      <c r="HHD74" s="800"/>
      <c r="HHE74" s="800"/>
      <c r="HHF74" s="800"/>
      <c r="HHG74" s="705"/>
      <c r="HHH74" s="799"/>
      <c r="HHI74" s="800"/>
      <c r="HHJ74" s="800"/>
      <c r="HHK74" s="800"/>
      <c r="HHL74" s="800"/>
      <c r="HHM74" s="800"/>
      <c r="HHN74" s="705"/>
      <c r="HHO74" s="799"/>
      <c r="HHP74" s="800"/>
      <c r="HHQ74" s="800"/>
      <c r="HHR74" s="800"/>
      <c r="HHS74" s="800"/>
      <c r="HHT74" s="800"/>
      <c r="HHU74" s="705"/>
      <c r="HHV74" s="799"/>
      <c r="HHW74" s="800"/>
      <c r="HHX74" s="800"/>
      <c r="HHY74" s="800"/>
      <c r="HHZ74" s="800"/>
      <c r="HIA74" s="800"/>
      <c r="HIB74" s="705"/>
      <c r="HIC74" s="799"/>
      <c r="HID74" s="800"/>
      <c r="HIE74" s="800"/>
      <c r="HIF74" s="800"/>
      <c r="HIG74" s="800"/>
      <c r="HIH74" s="800"/>
      <c r="HII74" s="705"/>
      <c r="HIJ74" s="799"/>
      <c r="HIK74" s="800"/>
      <c r="HIL74" s="800"/>
      <c r="HIM74" s="800"/>
      <c r="HIN74" s="800"/>
      <c r="HIO74" s="800"/>
      <c r="HIP74" s="705"/>
      <c r="HIQ74" s="799"/>
      <c r="HIR74" s="800"/>
      <c r="HIS74" s="800"/>
      <c r="HIT74" s="800"/>
      <c r="HIU74" s="800"/>
      <c r="HIV74" s="800"/>
      <c r="HIW74" s="705"/>
      <c r="HIX74" s="799"/>
      <c r="HIY74" s="800"/>
      <c r="HIZ74" s="800"/>
      <c r="HJA74" s="800"/>
      <c r="HJB74" s="800"/>
      <c r="HJC74" s="800"/>
      <c r="HJD74" s="705"/>
      <c r="HJE74" s="799"/>
      <c r="HJF74" s="800"/>
      <c r="HJG74" s="800"/>
      <c r="HJH74" s="800"/>
      <c r="HJI74" s="800"/>
      <c r="HJJ74" s="800"/>
      <c r="HJK74" s="705"/>
      <c r="HJL74" s="799"/>
      <c r="HJM74" s="800"/>
      <c r="HJN74" s="800"/>
      <c r="HJO74" s="800"/>
      <c r="HJP74" s="800"/>
      <c r="HJQ74" s="800"/>
      <c r="HJR74" s="705"/>
      <c r="HJS74" s="799"/>
      <c r="HJT74" s="800"/>
      <c r="HJU74" s="800"/>
      <c r="HJV74" s="800"/>
      <c r="HJW74" s="800"/>
      <c r="HJX74" s="800"/>
      <c r="HJY74" s="705"/>
      <c r="HJZ74" s="799"/>
      <c r="HKA74" s="800"/>
      <c r="HKB74" s="800"/>
      <c r="HKC74" s="800"/>
      <c r="HKD74" s="800"/>
      <c r="HKE74" s="800"/>
      <c r="HKF74" s="705"/>
      <c r="HKG74" s="799"/>
      <c r="HKH74" s="800"/>
      <c r="HKI74" s="800"/>
      <c r="HKJ74" s="800"/>
      <c r="HKK74" s="800"/>
      <c r="HKL74" s="800"/>
      <c r="HKM74" s="705"/>
      <c r="HKN74" s="799"/>
      <c r="HKO74" s="800"/>
      <c r="HKP74" s="800"/>
      <c r="HKQ74" s="800"/>
      <c r="HKR74" s="800"/>
      <c r="HKS74" s="800"/>
      <c r="HKT74" s="705"/>
      <c r="HKU74" s="799"/>
      <c r="HKV74" s="800"/>
      <c r="HKW74" s="800"/>
      <c r="HKX74" s="800"/>
      <c r="HKY74" s="800"/>
      <c r="HKZ74" s="800"/>
      <c r="HLA74" s="705"/>
      <c r="HLB74" s="799"/>
      <c r="HLC74" s="800"/>
      <c r="HLD74" s="800"/>
      <c r="HLE74" s="800"/>
      <c r="HLF74" s="800"/>
      <c r="HLG74" s="800"/>
      <c r="HLH74" s="705"/>
      <c r="HLI74" s="799"/>
      <c r="HLJ74" s="800"/>
      <c r="HLK74" s="800"/>
      <c r="HLL74" s="800"/>
      <c r="HLM74" s="800"/>
      <c r="HLN74" s="800"/>
      <c r="HLO74" s="705"/>
      <c r="HLP74" s="799"/>
      <c r="HLQ74" s="800"/>
      <c r="HLR74" s="800"/>
      <c r="HLS74" s="800"/>
      <c r="HLT74" s="800"/>
      <c r="HLU74" s="800"/>
      <c r="HLV74" s="705"/>
      <c r="HLW74" s="799"/>
      <c r="HLX74" s="800"/>
      <c r="HLY74" s="800"/>
      <c r="HLZ74" s="800"/>
      <c r="HMA74" s="800"/>
      <c r="HMB74" s="800"/>
      <c r="HMC74" s="705"/>
      <c r="HMD74" s="799"/>
      <c r="HME74" s="800"/>
      <c r="HMF74" s="800"/>
      <c r="HMG74" s="800"/>
      <c r="HMH74" s="800"/>
      <c r="HMI74" s="800"/>
      <c r="HMJ74" s="705"/>
      <c r="HMK74" s="799"/>
      <c r="HML74" s="800"/>
      <c r="HMM74" s="800"/>
      <c r="HMN74" s="800"/>
      <c r="HMO74" s="800"/>
      <c r="HMP74" s="800"/>
      <c r="HMQ74" s="705"/>
      <c r="HMR74" s="799"/>
      <c r="HMS74" s="800"/>
      <c r="HMT74" s="800"/>
      <c r="HMU74" s="800"/>
      <c r="HMV74" s="800"/>
      <c r="HMW74" s="800"/>
      <c r="HMX74" s="705"/>
      <c r="HMY74" s="799"/>
      <c r="HMZ74" s="800"/>
      <c r="HNA74" s="800"/>
      <c r="HNB74" s="800"/>
      <c r="HNC74" s="800"/>
      <c r="HND74" s="800"/>
      <c r="HNE74" s="705"/>
      <c r="HNF74" s="799"/>
      <c r="HNG74" s="800"/>
      <c r="HNH74" s="800"/>
      <c r="HNI74" s="800"/>
      <c r="HNJ74" s="800"/>
      <c r="HNK74" s="800"/>
      <c r="HNL74" s="705"/>
      <c r="HNM74" s="799"/>
      <c r="HNN74" s="800"/>
      <c r="HNO74" s="800"/>
      <c r="HNP74" s="800"/>
      <c r="HNQ74" s="800"/>
      <c r="HNR74" s="800"/>
      <c r="HNS74" s="705"/>
      <c r="HNT74" s="799"/>
      <c r="HNU74" s="800"/>
      <c r="HNV74" s="800"/>
      <c r="HNW74" s="800"/>
      <c r="HNX74" s="800"/>
      <c r="HNY74" s="800"/>
      <c r="HNZ74" s="705"/>
      <c r="HOA74" s="799"/>
      <c r="HOB74" s="800"/>
      <c r="HOC74" s="800"/>
      <c r="HOD74" s="800"/>
      <c r="HOE74" s="800"/>
      <c r="HOF74" s="800"/>
      <c r="HOG74" s="705"/>
      <c r="HOH74" s="799"/>
      <c r="HOI74" s="800"/>
      <c r="HOJ74" s="800"/>
      <c r="HOK74" s="800"/>
      <c r="HOL74" s="800"/>
      <c r="HOM74" s="800"/>
      <c r="HON74" s="705"/>
      <c r="HOO74" s="799"/>
      <c r="HOP74" s="800"/>
      <c r="HOQ74" s="800"/>
      <c r="HOR74" s="800"/>
      <c r="HOS74" s="800"/>
      <c r="HOT74" s="800"/>
      <c r="HOU74" s="705"/>
      <c r="HOV74" s="799"/>
      <c r="HOW74" s="800"/>
      <c r="HOX74" s="800"/>
      <c r="HOY74" s="800"/>
      <c r="HOZ74" s="800"/>
      <c r="HPA74" s="800"/>
      <c r="HPB74" s="705"/>
      <c r="HPC74" s="799"/>
      <c r="HPD74" s="800"/>
      <c r="HPE74" s="800"/>
      <c r="HPF74" s="800"/>
      <c r="HPG74" s="800"/>
      <c r="HPH74" s="800"/>
      <c r="HPI74" s="705"/>
      <c r="HPJ74" s="799"/>
      <c r="HPK74" s="800"/>
      <c r="HPL74" s="800"/>
      <c r="HPM74" s="800"/>
      <c r="HPN74" s="800"/>
      <c r="HPO74" s="800"/>
      <c r="HPP74" s="705"/>
      <c r="HPQ74" s="799"/>
      <c r="HPR74" s="800"/>
      <c r="HPS74" s="800"/>
      <c r="HPT74" s="800"/>
      <c r="HPU74" s="800"/>
      <c r="HPV74" s="800"/>
      <c r="HPW74" s="705"/>
      <c r="HPX74" s="799"/>
      <c r="HPY74" s="800"/>
      <c r="HPZ74" s="800"/>
      <c r="HQA74" s="800"/>
      <c r="HQB74" s="800"/>
      <c r="HQC74" s="800"/>
      <c r="HQD74" s="705"/>
      <c r="HQE74" s="799"/>
      <c r="HQF74" s="800"/>
      <c r="HQG74" s="800"/>
      <c r="HQH74" s="800"/>
      <c r="HQI74" s="800"/>
      <c r="HQJ74" s="800"/>
      <c r="HQK74" s="705"/>
      <c r="HQL74" s="799"/>
      <c r="HQM74" s="800"/>
      <c r="HQN74" s="800"/>
      <c r="HQO74" s="800"/>
      <c r="HQP74" s="800"/>
      <c r="HQQ74" s="800"/>
      <c r="HQR74" s="705"/>
      <c r="HQS74" s="799"/>
      <c r="HQT74" s="800"/>
      <c r="HQU74" s="800"/>
      <c r="HQV74" s="800"/>
      <c r="HQW74" s="800"/>
      <c r="HQX74" s="800"/>
      <c r="HQY74" s="705"/>
      <c r="HQZ74" s="799"/>
      <c r="HRA74" s="800"/>
      <c r="HRB74" s="800"/>
      <c r="HRC74" s="800"/>
      <c r="HRD74" s="800"/>
      <c r="HRE74" s="800"/>
      <c r="HRF74" s="705"/>
      <c r="HRG74" s="799"/>
      <c r="HRH74" s="800"/>
      <c r="HRI74" s="800"/>
      <c r="HRJ74" s="800"/>
      <c r="HRK74" s="800"/>
      <c r="HRL74" s="800"/>
      <c r="HRM74" s="705"/>
      <c r="HRN74" s="799"/>
      <c r="HRO74" s="800"/>
      <c r="HRP74" s="800"/>
      <c r="HRQ74" s="800"/>
      <c r="HRR74" s="800"/>
      <c r="HRS74" s="800"/>
      <c r="HRT74" s="705"/>
      <c r="HRU74" s="799"/>
      <c r="HRV74" s="800"/>
      <c r="HRW74" s="800"/>
      <c r="HRX74" s="800"/>
      <c r="HRY74" s="800"/>
      <c r="HRZ74" s="800"/>
      <c r="HSA74" s="705"/>
      <c r="HSB74" s="799"/>
      <c r="HSC74" s="800"/>
      <c r="HSD74" s="800"/>
      <c r="HSE74" s="800"/>
      <c r="HSF74" s="800"/>
      <c r="HSG74" s="800"/>
      <c r="HSH74" s="705"/>
      <c r="HSI74" s="799"/>
      <c r="HSJ74" s="800"/>
      <c r="HSK74" s="800"/>
      <c r="HSL74" s="800"/>
      <c r="HSM74" s="800"/>
      <c r="HSN74" s="800"/>
      <c r="HSO74" s="705"/>
      <c r="HSP74" s="799"/>
      <c r="HSQ74" s="800"/>
      <c r="HSR74" s="800"/>
      <c r="HSS74" s="800"/>
      <c r="HST74" s="800"/>
      <c r="HSU74" s="800"/>
      <c r="HSV74" s="705"/>
      <c r="HSW74" s="799"/>
      <c r="HSX74" s="800"/>
      <c r="HSY74" s="800"/>
      <c r="HSZ74" s="800"/>
      <c r="HTA74" s="800"/>
      <c r="HTB74" s="800"/>
      <c r="HTC74" s="705"/>
      <c r="HTD74" s="799"/>
      <c r="HTE74" s="800"/>
      <c r="HTF74" s="800"/>
      <c r="HTG74" s="800"/>
      <c r="HTH74" s="800"/>
      <c r="HTI74" s="800"/>
      <c r="HTJ74" s="705"/>
      <c r="HTK74" s="799"/>
      <c r="HTL74" s="800"/>
      <c r="HTM74" s="800"/>
      <c r="HTN74" s="800"/>
      <c r="HTO74" s="800"/>
      <c r="HTP74" s="800"/>
      <c r="HTQ74" s="705"/>
      <c r="HTR74" s="799"/>
      <c r="HTS74" s="800"/>
      <c r="HTT74" s="800"/>
      <c r="HTU74" s="800"/>
      <c r="HTV74" s="800"/>
      <c r="HTW74" s="800"/>
      <c r="HTX74" s="705"/>
      <c r="HTY74" s="799"/>
      <c r="HTZ74" s="800"/>
      <c r="HUA74" s="800"/>
      <c r="HUB74" s="800"/>
      <c r="HUC74" s="800"/>
      <c r="HUD74" s="800"/>
      <c r="HUE74" s="705"/>
      <c r="HUF74" s="799"/>
      <c r="HUG74" s="800"/>
      <c r="HUH74" s="800"/>
      <c r="HUI74" s="800"/>
      <c r="HUJ74" s="800"/>
      <c r="HUK74" s="800"/>
      <c r="HUL74" s="705"/>
      <c r="HUM74" s="799"/>
      <c r="HUN74" s="800"/>
      <c r="HUO74" s="800"/>
      <c r="HUP74" s="800"/>
      <c r="HUQ74" s="800"/>
      <c r="HUR74" s="800"/>
      <c r="HUS74" s="705"/>
      <c r="HUT74" s="799"/>
      <c r="HUU74" s="800"/>
      <c r="HUV74" s="800"/>
      <c r="HUW74" s="800"/>
      <c r="HUX74" s="800"/>
      <c r="HUY74" s="800"/>
      <c r="HUZ74" s="705"/>
      <c r="HVA74" s="799"/>
      <c r="HVB74" s="800"/>
      <c r="HVC74" s="800"/>
      <c r="HVD74" s="800"/>
      <c r="HVE74" s="800"/>
      <c r="HVF74" s="800"/>
      <c r="HVG74" s="705"/>
      <c r="HVH74" s="799"/>
      <c r="HVI74" s="800"/>
      <c r="HVJ74" s="800"/>
      <c r="HVK74" s="800"/>
      <c r="HVL74" s="800"/>
      <c r="HVM74" s="800"/>
      <c r="HVN74" s="705"/>
      <c r="HVO74" s="799"/>
      <c r="HVP74" s="800"/>
      <c r="HVQ74" s="800"/>
      <c r="HVR74" s="800"/>
      <c r="HVS74" s="800"/>
      <c r="HVT74" s="800"/>
      <c r="HVU74" s="705"/>
      <c r="HVV74" s="799"/>
      <c r="HVW74" s="800"/>
      <c r="HVX74" s="800"/>
      <c r="HVY74" s="800"/>
      <c r="HVZ74" s="800"/>
      <c r="HWA74" s="800"/>
      <c r="HWB74" s="705"/>
      <c r="HWC74" s="799"/>
      <c r="HWD74" s="800"/>
      <c r="HWE74" s="800"/>
      <c r="HWF74" s="800"/>
      <c r="HWG74" s="800"/>
      <c r="HWH74" s="800"/>
      <c r="HWI74" s="705"/>
      <c r="HWJ74" s="799"/>
      <c r="HWK74" s="800"/>
      <c r="HWL74" s="800"/>
      <c r="HWM74" s="800"/>
      <c r="HWN74" s="800"/>
      <c r="HWO74" s="800"/>
      <c r="HWP74" s="705"/>
      <c r="HWQ74" s="799"/>
      <c r="HWR74" s="800"/>
      <c r="HWS74" s="800"/>
      <c r="HWT74" s="800"/>
      <c r="HWU74" s="800"/>
      <c r="HWV74" s="800"/>
      <c r="HWW74" s="705"/>
      <c r="HWX74" s="799"/>
      <c r="HWY74" s="800"/>
      <c r="HWZ74" s="800"/>
      <c r="HXA74" s="800"/>
      <c r="HXB74" s="800"/>
      <c r="HXC74" s="800"/>
      <c r="HXD74" s="705"/>
      <c r="HXE74" s="799"/>
      <c r="HXF74" s="800"/>
      <c r="HXG74" s="800"/>
      <c r="HXH74" s="800"/>
      <c r="HXI74" s="800"/>
      <c r="HXJ74" s="800"/>
      <c r="HXK74" s="705"/>
      <c r="HXL74" s="799"/>
      <c r="HXM74" s="800"/>
      <c r="HXN74" s="800"/>
      <c r="HXO74" s="800"/>
      <c r="HXP74" s="800"/>
      <c r="HXQ74" s="800"/>
      <c r="HXR74" s="705"/>
      <c r="HXS74" s="799"/>
      <c r="HXT74" s="800"/>
      <c r="HXU74" s="800"/>
      <c r="HXV74" s="800"/>
      <c r="HXW74" s="800"/>
      <c r="HXX74" s="800"/>
      <c r="HXY74" s="705"/>
      <c r="HXZ74" s="799"/>
      <c r="HYA74" s="800"/>
      <c r="HYB74" s="800"/>
      <c r="HYC74" s="800"/>
      <c r="HYD74" s="800"/>
      <c r="HYE74" s="800"/>
      <c r="HYF74" s="705"/>
      <c r="HYG74" s="799"/>
      <c r="HYH74" s="800"/>
      <c r="HYI74" s="800"/>
      <c r="HYJ74" s="800"/>
      <c r="HYK74" s="800"/>
      <c r="HYL74" s="800"/>
      <c r="HYM74" s="705"/>
      <c r="HYN74" s="799"/>
      <c r="HYO74" s="800"/>
      <c r="HYP74" s="800"/>
      <c r="HYQ74" s="800"/>
      <c r="HYR74" s="800"/>
      <c r="HYS74" s="800"/>
      <c r="HYT74" s="705"/>
      <c r="HYU74" s="799"/>
      <c r="HYV74" s="800"/>
      <c r="HYW74" s="800"/>
      <c r="HYX74" s="800"/>
      <c r="HYY74" s="800"/>
      <c r="HYZ74" s="800"/>
      <c r="HZA74" s="705"/>
      <c r="HZB74" s="799"/>
      <c r="HZC74" s="800"/>
      <c r="HZD74" s="800"/>
      <c r="HZE74" s="800"/>
      <c r="HZF74" s="800"/>
      <c r="HZG74" s="800"/>
      <c r="HZH74" s="705"/>
      <c r="HZI74" s="799"/>
      <c r="HZJ74" s="800"/>
      <c r="HZK74" s="800"/>
      <c r="HZL74" s="800"/>
      <c r="HZM74" s="800"/>
      <c r="HZN74" s="800"/>
      <c r="HZO74" s="705"/>
      <c r="HZP74" s="799"/>
      <c r="HZQ74" s="800"/>
      <c r="HZR74" s="800"/>
      <c r="HZS74" s="800"/>
      <c r="HZT74" s="800"/>
      <c r="HZU74" s="800"/>
      <c r="HZV74" s="705"/>
      <c r="HZW74" s="799"/>
      <c r="HZX74" s="800"/>
      <c r="HZY74" s="800"/>
      <c r="HZZ74" s="800"/>
      <c r="IAA74" s="800"/>
      <c r="IAB74" s="800"/>
      <c r="IAC74" s="705"/>
      <c r="IAD74" s="799"/>
      <c r="IAE74" s="800"/>
      <c r="IAF74" s="800"/>
      <c r="IAG74" s="800"/>
      <c r="IAH74" s="800"/>
      <c r="IAI74" s="800"/>
      <c r="IAJ74" s="705"/>
      <c r="IAK74" s="799"/>
      <c r="IAL74" s="800"/>
      <c r="IAM74" s="800"/>
      <c r="IAN74" s="800"/>
      <c r="IAO74" s="800"/>
      <c r="IAP74" s="800"/>
      <c r="IAQ74" s="705"/>
      <c r="IAR74" s="799"/>
      <c r="IAS74" s="800"/>
      <c r="IAT74" s="800"/>
      <c r="IAU74" s="800"/>
      <c r="IAV74" s="800"/>
      <c r="IAW74" s="800"/>
      <c r="IAX74" s="705"/>
      <c r="IAY74" s="799"/>
      <c r="IAZ74" s="800"/>
      <c r="IBA74" s="800"/>
      <c r="IBB74" s="800"/>
      <c r="IBC74" s="800"/>
      <c r="IBD74" s="800"/>
      <c r="IBE74" s="705"/>
      <c r="IBF74" s="799"/>
      <c r="IBG74" s="800"/>
      <c r="IBH74" s="800"/>
      <c r="IBI74" s="800"/>
      <c r="IBJ74" s="800"/>
      <c r="IBK74" s="800"/>
      <c r="IBL74" s="705"/>
      <c r="IBM74" s="799"/>
      <c r="IBN74" s="800"/>
      <c r="IBO74" s="800"/>
      <c r="IBP74" s="800"/>
      <c r="IBQ74" s="800"/>
      <c r="IBR74" s="800"/>
      <c r="IBS74" s="705"/>
      <c r="IBT74" s="799"/>
      <c r="IBU74" s="800"/>
      <c r="IBV74" s="800"/>
      <c r="IBW74" s="800"/>
      <c r="IBX74" s="800"/>
      <c r="IBY74" s="800"/>
      <c r="IBZ74" s="705"/>
      <c r="ICA74" s="799"/>
      <c r="ICB74" s="800"/>
      <c r="ICC74" s="800"/>
      <c r="ICD74" s="800"/>
      <c r="ICE74" s="800"/>
      <c r="ICF74" s="800"/>
      <c r="ICG74" s="705"/>
      <c r="ICH74" s="799"/>
      <c r="ICI74" s="800"/>
      <c r="ICJ74" s="800"/>
      <c r="ICK74" s="800"/>
      <c r="ICL74" s="800"/>
      <c r="ICM74" s="800"/>
      <c r="ICN74" s="705"/>
      <c r="ICO74" s="799"/>
      <c r="ICP74" s="800"/>
      <c r="ICQ74" s="800"/>
      <c r="ICR74" s="800"/>
      <c r="ICS74" s="800"/>
      <c r="ICT74" s="800"/>
      <c r="ICU74" s="705"/>
      <c r="ICV74" s="799"/>
      <c r="ICW74" s="800"/>
      <c r="ICX74" s="800"/>
      <c r="ICY74" s="800"/>
      <c r="ICZ74" s="800"/>
      <c r="IDA74" s="800"/>
      <c r="IDB74" s="705"/>
      <c r="IDC74" s="799"/>
      <c r="IDD74" s="800"/>
      <c r="IDE74" s="800"/>
      <c r="IDF74" s="800"/>
      <c r="IDG74" s="800"/>
      <c r="IDH74" s="800"/>
      <c r="IDI74" s="705"/>
      <c r="IDJ74" s="799"/>
      <c r="IDK74" s="800"/>
      <c r="IDL74" s="800"/>
      <c r="IDM74" s="800"/>
      <c r="IDN74" s="800"/>
      <c r="IDO74" s="800"/>
      <c r="IDP74" s="705"/>
      <c r="IDQ74" s="799"/>
      <c r="IDR74" s="800"/>
      <c r="IDS74" s="800"/>
      <c r="IDT74" s="800"/>
      <c r="IDU74" s="800"/>
      <c r="IDV74" s="800"/>
      <c r="IDW74" s="705"/>
      <c r="IDX74" s="799"/>
      <c r="IDY74" s="800"/>
      <c r="IDZ74" s="800"/>
      <c r="IEA74" s="800"/>
      <c r="IEB74" s="800"/>
      <c r="IEC74" s="800"/>
      <c r="IED74" s="705"/>
      <c r="IEE74" s="799"/>
      <c r="IEF74" s="800"/>
      <c r="IEG74" s="800"/>
      <c r="IEH74" s="800"/>
      <c r="IEI74" s="800"/>
      <c r="IEJ74" s="800"/>
      <c r="IEK74" s="705"/>
      <c r="IEL74" s="799"/>
      <c r="IEM74" s="800"/>
      <c r="IEN74" s="800"/>
      <c r="IEO74" s="800"/>
      <c r="IEP74" s="800"/>
      <c r="IEQ74" s="800"/>
      <c r="IER74" s="705"/>
      <c r="IES74" s="799"/>
      <c r="IET74" s="800"/>
      <c r="IEU74" s="800"/>
      <c r="IEV74" s="800"/>
      <c r="IEW74" s="800"/>
      <c r="IEX74" s="800"/>
      <c r="IEY74" s="705"/>
      <c r="IEZ74" s="799"/>
      <c r="IFA74" s="800"/>
      <c r="IFB74" s="800"/>
      <c r="IFC74" s="800"/>
      <c r="IFD74" s="800"/>
      <c r="IFE74" s="800"/>
      <c r="IFF74" s="705"/>
      <c r="IFG74" s="799"/>
      <c r="IFH74" s="800"/>
      <c r="IFI74" s="800"/>
      <c r="IFJ74" s="800"/>
      <c r="IFK74" s="800"/>
      <c r="IFL74" s="800"/>
      <c r="IFM74" s="705"/>
      <c r="IFN74" s="799"/>
      <c r="IFO74" s="800"/>
      <c r="IFP74" s="800"/>
      <c r="IFQ74" s="800"/>
      <c r="IFR74" s="800"/>
      <c r="IFS74" s="800"/>
      <c r="IFT74" s="705"/>
      <c r="IFU74" s="799"/>
      <c r="IFV74" s="800"/>
      <c r="IFW74" s="800"/>
      <c r="IFX74" s="800"/>
      <c r="IFY74" s="800"/>
      <c r="IFZ74" s="800"/>
      <c r="IGA74" s="705"/>
      <c r="IGB74" s="799"/>
      <c r="IGC74" s="800"/>
      <c r="IGD74" s="800"/>
      <c r="IGE74" s="800"/>
      <c r="IGF74" s="800"/>
      <c r="IGG74" s="800"/>
      <c r="IGH74" s="705"/>
      <c r="IGI74" s="799"/>
      <c r="IGJ74" s="800"/>
      <c r="IGK74" s="800"/>
      <c r="IGL74" s="800"/>
      <c r="IGM74" s="800"/>
      <c r="IGN74" s="800"/>
      <c r="IGO74" s="705"/>
      <c r="IGP74" s="799"/>
      <c r="IGQ74" s="800"/>
      <c r="IGR74" s="800"/>
      <c r="IGS74" s="800"/>
      <c r="IGT74" s="800"/>
      <c r="IGU74" s="800"/>
      <c r="IGV74" s="705"/>
      <c r="IGW74" s="799"/>
      <c r="IGX74" s="800"/>
      <c r="IGY74" s="800"/>
      <c r="IGZ74" s="800"/>
      <c r="IHA74" s="800"/>
      <c r="IHB74" s="800"/>
      <c r="IHC74" s="705"/>
      <c r="IHD74" s="799"/>
      <c r="IHE74" s="800"/>
      <c r="IHF74" s="800"/>
      <c r="IHG74" s="800"/>
      <c r="IHH74" s="800"/>
      <c r="IHI74" s="800"/>
      <c r="IHJ74" s="705"/>
      <c r="IHK74" s="799"/>
      <c r="IHL74" s="800"/>
      <c r="IHM74" s="800"/>
      <c r="IHN74" s="800"/>
      <c r="IHO74" s="800"/>
      <c r="IHP74" s="800"/>
      <c r="IHQ74" s="705"/>
      <c r="IHR74" s="799"/>
      <c r="IHS74" s="800"/>
      <c r="IHT74" s="800"/>
      <c r="IHU74" s="800"/>
      <c r="IHV74" s="800"/>
      <c r="IHW74" s="800"/>
      <c r="IHX74" s="705"/>
      <c r="IHY74" s="799"/>
      <c r="IHZ74" s="800"/>
      <c r="IIA74" s="800"/>
      <c r="IIB74" s="800"/>
      <c r="IIC74" s="800"/>
      <c r="IID74" s="800"/>
      <c r="IIE74" s="705"/>
      <c r="IIF74" s="799"/>
      <c r="IIG74" s="800"/>
      <c r="IIH74" s="800"/>
      <c r="III74" s="800"/>
      <c r="IIJ74" s="800"/>
      <c r="IIK74" s="800"/>
      <c r="IIL74" s="705"/>
      <c r="IIM74" s="799"/>
      <c r="IIN74" s="800"/>
      <c r="IIO74" s="800"/>
      <c r="IIP74" s="800"/>
      <c r="IIQ74" s="800"/>
      <c r="IIR74" s="800"/>
      <c r="IIS74" s="705"/>
      <c r="IIT74" s="799"/>
      <c r="IIU74" s="800"/>
      <c r="IIV74" s="800"/>
      <c r="IIW74" s="800"/>
      <c r="IIX74" s="800"/>
      <c r="IIY74" s="800"/>
      <c r="IIZ74" s="705"/>
      <c r="IJA74" s="799"/>
      <c r="IJB74" s="800"/>
      <c r="IJC74" s="800"/>
      <c r="IJD74" s="800"/>
      <c r="IJE74" s="800"/>
      <c r="IJF74" s="800"/>
      <c r="IJG74" s="705"/>
      <c r="IJH74" s="799"/>
      <c r="IJI74" s="800"/>
      <c r="IJJ74" s="800"/>
      <c r="IJK74" s="800"/>
      <c r="IJL74" s="800"/>
      <c r="IJM74" s="800"/>
      <c r="IJN74" s="705"/>
      <c r="IJO74" s="799"/>
      <c r="IJP74" s="800"/>
      <c r="IJQ74" s="800"/>
      <c r="IJR74" s="800"/>
      <c r="IJS74" s="800"/>
      <c r="IJT74" s="800"/>
      <c r="IJU74" s="705"/>
      <c r="IJV74" s="799"/>
      <c r="IJW74" s="800"/>
      <c r="IJX74" s="800"/>
      <c r="IJY74" s="800"/>
      <c r="IJZ74" s="800"/>
      <c r="IKA74" s="800"/>
      <c r="IKB74" s="705"/>
      <c r="IKC74" s="799"/>
      <c r="IKD74" s="800"/>
      <c r="IKE74" s="800"/>
      <c r="IKF74" s="800"/>
      <c r="IKG74" s="800"/>
      <c r="IKH74" s="800"/>
      <c r="IKI74" s="705"/>
      <c r="IKJ74" s="799"/>
      <c r="IKK74" s="800"/>
      <c r="IKL74" s="800"/>
      <c r="IKM74" s="800"/>
      <c r="IKN74" s="800"/>
      <c r="IKO74" s="800"/>
      <c r="IKP74" s="705"/>
      <c r="IKQ74" s="799"/>
      <c r="IKR74" s="800"/>
      <c r="IKS74" s="800"/>
      <c r="IKT74" s="800"/>
      <c r="IKU74" s="800"/>
      <c r="IKV74" s="800"/>
      <c r="IKW74" s="705"/>
      <c r="IKX74" s="799"/>
      <c r="IKY74" s="800"/>
      <c r="IKZ74" s="800"/>
      <c r="ILA74" s="800"/>
      <c r="ILB74" s="800"/>
      <c r="ILC74" s="800"/>
      <c r="ILD74" s="705"/>
      <c r="ILE74" s="799"/>
      <c r="ILF74" s="800"/>
      <c r="ILG74" s="800"/>
      <c r="ILH74" s="800"/>
      <c r="ILI74" s="800"/>
      <c r="ILJ74" s="800"/>
      <c r="ILK74" s="705"/>
      <c r="ILL74" s="799"/>
      <c r="ILM74" s="800"/>
      <c r="ILN74" s="800"/>
      <c r="ILO74" s="800"/>
      <c r="ILP74" s="800"/>
      <c r="ILQ74" s="800"/>
      <c r="ILR74" s="705"/>
      <c r="ILS74" s="799"/>
      <c r="ILT74" s="800"/>
      <c r="ILU74" s="800"/>
      <c r="ILV74" s="800"/>
      <c r="ILW74" s="800"/>
      <c r="ILX74" s="800"/>
      <c r="ILY74" s="705"/>
      <c r="ILZ74" s="799"/>
      <c r="IMA74" s="800"/>
      <c r="IMB74" s="800"/>
      <c r="IMC74" s="800"/>
      <c r="IMD74" s="800"/>
      <c r="IME74" s="800"/>
      <c r="IMF74" s="705"/>
      <c r="IMG74" s="799"/>
      <c r="IMH74" s="800"/>
      <c r="IMI74" s="800"/>
      <c r="IMJ74" s="800"/>
      <c r="IMK74" s="800"/>
      <c r="IML74" s="800"/>
      <c r="IMM74" s="705"/>
      <c r="IMN74" s="799"/>
      <c r="IMO74" s="800"/>
      <c r="IMP74" s="800"/>
      <c r="IMQ74" s="800"/>
      <c r="IMR74" s="800"/>
      <c r="IMS74" s="800"/>
      <c r="IMT74" s="705"/>
      <c r="IMU74" s="799"/>
      <c r="IMV74" s="800"/>
      <c r="IMW74" s="800"/>
      <c r="IMX74" s="800"/>
      <c r="IMY74" s="800"/>
      <c r="IMZ74" s="800"/>
      <c r="INA74" s="705"/>
      <c r="INB74" s="799"/>
      <c r="INC74" s="800"/>
      <c r="IND74" s="800"/>
      <c r="INE74" s="800"/>
      <c r="INF74" s="800"/>
      <c r="ING74" s="800"/>
      <c r="INH74" s="705"/>
      <c r="INI74" s="799"/>
      <c r="INJ74" s="800"/>
      <c r="INK74" s="800"/>
      <c r="INL74" s="800"/>
      <c r="INM74" s="800"/>
      <c r="INN74" s="800"/>
      <c r="INO74" s="705"/>
      <c r="INP74" s="799"/>
      <c r="INQ74" s="800"/>
      <c r="INR74" s="800"/>
      <c r="INS74" s="800"/>
      <c r="INT74" s="800"/>
      <c r="INU74" s="800"/>
      <c r="INV74" s="705"/>
      <c r="INW74" s="799"/>
      <c r="INX74" s="800"/>
      <c r="INY74" s="800"/>
      <c r="INZ74" s="800"/>
      <c r="IOA74" s="800"/>
      <c r="IOB74" s="800"/>
      <c r="IOC74" s="705"/>
      <c r="IOD74" s="799"/>
      <c r="IOE74" s="800"/>
      <c r="IOF74" s="800"/>
      <c r="IOG74" s="800"/>
      <c r="IOH74" s="800"/>
      <c r="IOI74" s="800"/>
      <c r="IOJ74" s="705"/>
      <c r="IOK74" s="799"/>
      <c r="IOL74" s="800"/>
      <c r="IOM74" s="800"/>
      <c r="ION74" s="800"/>
      <c r="IOO74" s="800"/>
      <c r="IOP74" s="800"/>
      <c r="IOQ74" s="705"/>
      <c r="IOR74" s="799"/>
      <c r="IOS74" s="800"/>
      <c r="IOT74" s="800"/>
      <c r="IOU74" s="800"/>
      <c r="IOV74" s="800"/>
      <c r="IOW74" s="800"/>
      <c r="IOX74" s="705"/>
      <c r="IOY74" s="799"/>
      <c r="IOZ74" s="800"/>
      <c r="IPA74" s="800"/>
      <c r="IPB74" s="800"/>
      <c r="IPC74" s="800"/>
      <c r="IPD74" s="800"/>
      <c r="IPE74" s="705"/>
      <c r="IPF74" s="799"/>
      <c r="IPG74" s="800"/>
      <c r="IPH74" s="800"/>
      <c r="IPI74" s="800"/>
      <c r="IPJ74" s="800"/>
      <c r="IPK74" s="800"/>
      <c r="IPL74" s="705"/>
      <c r="IPM74" s="799"/>
      <c r="IPN74" s="800"/>
      <c r="IPO74" s="800"/>
      <c r="IPP74" s="800"/>
      <c r="IPQ74" s="800"/>
      <c r="IPR74" s="800"/>
      <c r="IPS74" s="705"/>
      <c r="IPT74" s="799"/>
      <c r="IPU74" s="800"/>
      <c r="IPV74" s="800"/>
      <c r="IPW74" s="800"/>
      <c r="IPX74" s="800"/>
      <c r="IPY74" s="800"/>
      <c r="IPZ74" s="705"/>
      <c r="IQA74" s="799"/>
      <c r="IQB74" s="800"/>
      <c r="IQC74" s="800"/>
      <c r="IQD74" s="800"/>
      <c r="IQE74" s="800"/>
      <c r="IQF74" s="800"/>
      <c r="IQG74" s="705"/>
      <c r="IQH74" s="799"/>
      <c r="IQI74" s="800"/>
      <c r="IQJ74" s="800"/>
      <c r="IQK74" s="800"/>
      <c r="IQL74" s="800"/>
      <c r="IQM74" s="800"/>
      <c r="IQN74" s="705"/>
      <c r="IQO74" s="799"/>
      <c r="IQP74" s="800"/>
      <c r="IQQ74" s="800"/>
      <c r="IQR74" s="800"/>
      <c r="IQS74" s="800"/>
      <c r="IQT74" s="800"/>
      <c r="IQU74" s="705"/>
      <c r="IQV74" s="799"/>
      <c r="IQW74" s="800"/>
      <c r="IQX74" s="800"/>
      <c r="IQY74" s="800"/>
      <c r="IQZ74" s="800"/>
      <c r="IRA74" s="800"/>
      <c r="IRB74" s="705"/>
      <c r="IRC74" s="799"/>
      <c r="IRD74" s="800"/>
      <c r="IRE74" s="800"/>
      <c r="IRF74" s="800"/>
      <c r="IRG74" s="800"/>
      <c r="IRH74" s="800"/>
      <c r="IRI74" s="705"/>
      <c r="IRJ74" s="799"/>
      <c r="IRK74" s="800"/>
      <c r="IRL74" s="800"/>
      <c r="IRM74" s="800"/>
      <c r="IRN74" s="800"/>
      <c r="IRO74" s="800"/>
      <c r="IRP74" s="705"/>
      <c r="IRQ74" s="799"/>
      <c r="IRR74" s="800"/>
      <c r="IRS74" s="800"/>
      <c r="IRT74" s="800"/>
      <c r="IRU74" s="800"/>
      <c r="IRV74" s="800"/>
      <c r="IRW74" s="705"/>
      <c r="IRX74" s="799"/>
      <c r="IRY74" s="800"/>
      <c r="IRZ74" s="800"/>
      <c r="ISA74" s="800"/>
      <c r="ISB74" s="800"/>
      <c r="ISC74" s="800"/>
      <c r="ISD74" s="705"/>
      <c r="ISE74" s="799"/>
      <c r="ISF74" s="800"/>
      <c r="ISG74" s="800"/>
      <c r="ISH74" s="800"/>
      <c r="ISI74" s="800"/>
      <c r="ISJ74" s="800"/>
      <c r="ISK74" s="705"/>
      <c r="ISL74" s="799"/>
      <c r="ISM74" s="800"/>
      <c r="ISN74" s="800"/>
      <c r="ISO74" s="800"/>
      <c r="ISP74" s="800"/>
      <c r="ISQ74" s="800"/>
      <c r="ISR74" s="705"/>
      <c r="ISS74" s="799"/>
      <c r="IST74" s="800"/>
      <c r="ISU74" s="800"/>
      <c r="ISV74" s="800"/>
      <c r="ISW74" s="800"/>
      <c r="ISX74" s="800"/>
      <c r="ISY74" s="705"/>
      <c r="ISZ74" s="799"/>
      <c r="ITA74" s="800"/>
      <c r="ITB74" s="800"/>
      <c r="ITC74" s="800"/>
      <c r="ITD74" s="800"/>
      <c r="ITE74" s="800"/>
      <c r="ITF74" s="705"/>
      <c r="ITG74" s="799"/>
      <c r="ITH74" s="800"/>
      <c r="ITI74" s="800"/>
      <c r="ITJ74" s="800"/>
      <c r="ITK74" s="800"/>
      <c r="ITL74" s="800"/>
      <c r="ITM74" s="705"/>
      <c r="ITN74" s="799"/>
      <c r="ITO74" s="800"/>
      <c r="ITP74" s="800"/>
      <c r="ITQ74" s="800"/>
      <c r="ITR74" s="800"/>
      <c r="ITS74" s="800"/>
      <c r="ITT74" s="705"/>
      <c r="ITU74" s="799"/>
      <c r="ITV74" s="800"/>
      <c r="ITW74" s="800"/>
      <c r="ITX74" s="800"/>
      <c r="ITY74" s="800"/>
      <c r="ITZ74" s="800"/>
      <c r="IUA74" s="705"/>
      <c r="IUB74" s="799"/>
      <c r="IUC74" s="800"/>
      <c r="IUD74" s="800"/>
      <c r="IUE74" s="800"/>
      <c r="IUF74" s="800"/>
      <c r="IUG74" s="800"/>
      <c r="IUH74" s="705"/>
      <c r="IUI74" s="799"/>
      <c r="IUJ74" s="800"/>
      <c r="IUK74" s="800"/>
      <c r="IUL74" s="800"/>
      <c r="IUM74" s="800"/>
      <c r="IUN74" s="800"/>
      <c r="IUO74" s="705"/>
      <c r="IUP74" s="799"/>
      <c r="IUQ74" s="800"/>
      <c r="IUR74" s="800"/>
      <c r="IUS74" s="800"/>
      <c r="IUT74" s="800"/>
      <c r="IUU74" s="800"/>
      <c r="IUV74" s="705"/>
      <c r="IUW74" s="799"/>
      <c r="IUX74" s="800"/>
      <c r="IUY74" s="800"/>
      <c r="IUZ74" s="800"/>
      <c r="IVA74" s="800"/>
      <c r="IVB74" s="800"/>
      <c r="IVC74" s="705"/>
      <c r="IVD74" s="799"/>
      <c r="IVE74" s="800"/>
      <c r="IVF74" s="800"/>
      <c r="IVG74" s="800"/>
      <c r="IVH74" s="800"/>
      <c r="IVI74" s="800"/>
      <c r="IVJ74" s="705"/>
      <c r="IVK74" s="799"/>
      <c r="IVL74" s="800"/>
      <c r="IVM74" s="800"/>
      <c r="IVN74" s="800"/>
      <c r="IVO74" s="800"/>
      <c r="IVP74" s="800"/>
      <c r="IVQ74" s="705"/>
      <c r="IVR74" s="799"/>
      <c r="IVS74" s="800"/>
      <c r="IVT74" s="800"/>
      <c r="IVU74" s="800"/>
      <c r="IVV74" s="800"/>
      <c r="IVW74" s="800"/>
      <c r="IVX74" s="705"/>
      <c r="IVY74" s="799"/>
      <c r="IVZ74" s="800"/>
      <c r="IWA74" s="800"/>
      <c r="IWB74" s="800"/>
      <c r="IWC74" s="800"/>
      <c r="IWD74" s="800"/>
      <c r="IWE74" s="705"/>
      <c r="IWF74" s="799"/>
      <c r="IWG74" s="800"/>
      <c r="IWH74" s="800"/>
      <c r="IWI74" s="800"/>
      <c r="IWJ74" s="800"/>
      <c r="IWK74" s="800"/>
      <c r="IWL74" s="705"/>
      <c r="IWM74" s="799"/>
      <c r="IWN74" s="800"/>
      <c r="IWO74" s="800"/>
      <c r="IWP74" s="800"/>
      <c r="IWQ74" s="800"/>
      <c r="IWR74" s="800"/>
      <c r="IWS74" s="705"/>
      <c r="IWT74" s="799"/>
      <c r="IWU74" s="800"/>
      <c r="IWV74" s="800"/>
      <c r="IWW74" s="800"/>
      <c r="IWX74" s="800"/>
      <c r="IWY74" s="800"/>
      <c r="IWZ74" s="705"/>
      <c r="IXA74" s="799"/>
      <c r="IXB74" s="800"/>
      <c r="IXC74" s="800"/>
      <c r="IXD74" s="800"/>
      <c r="IXE74" s="800"/>
      <c r="IXF74" s="800"/>
      <c r="IXG74" s="705"/>
      <c r="IXH74" s="799"/>
      <c r="IXI74" s="800"/>
      <c r="IXJ74" s="800"/>
      <c r="IXK74" s="800"/>
      <c r="IXL74" s="800"/>
      <c r="IXM74" s="800"/>
      <c r="IXN74" s="705"/>
      <c r="IXO74" s="799"/>
      <c r="IXP74" s="800"/>
      <c r="IXQ74" s="800"/>
      <c r="IXR74" s="800"/>
      <c r="IXS74" s="800"/>
      <c r="IXT74" s="800"/>
      <c r="IXU74" s="705"/>
      <c r="IXV74" s="799"/>
      <c r="IXW74" s="800"/>
      <c r="IXX74" s="800"/>
      <c r="IXY74" s="800"/>
      <c r="IXZ74" s="800"/>
      <c r="IYA74" s="800"/>
      <c r="IYB74" s="705"/>
      <c r="IYC74" s="799"/>
      <c r="IYD74" s="800"/>
      <c r="IYE74" s="800"/>
      <c r="IYF74" s="800"/>
      <c r="IYG74" s="800"/>
      <c r="IYH74" s="800"/>
      <c r="IYI74" s="705"/>
      <c r="IYJ74" s="799"/>
      <c r="IYK74" s="800"/>
      <c r="IYL74" s="800"/>
      <c r="IYM74" s="800"/>
      <c r="IYN74" s="800"/>
      <c r="IYO74" s="800"/>
      <c r="IYP74" s="705"/>
      <c r="IYQ74" s="799"/>
      <c r="IYR74" s="800"/>
      <c r="IYS74" s="800"/>
      <c r="IYT74" s="800"/>
      <c r="IYU74" s="800"/>
      <c r="IYV74" s="800"/>
      <c r="IYW74" s="705"/>
      <c r="IYX74" s="799"/>
      <c r="IYY74" s="800"/>
      <c r="IYZ74" s="800"/>
      <c r="IZA74" s="800"/>
      <c r="IZB74" s="800"/>
      <c r="IZC74" s="800"/>
      <c r="IZD74" s="705"/>
      <c r="IZE74" s="799"/>
      <c r="IZF74" s="800"/>
      <c r="IZG74" s="800"/>
      <c r="IZH74" s="800"/>
      <c r="IZI74" s="800"/>
      <c r="IZJ74" s="800"/>
      <c r="IZK74" s="705"/>
      <c r="IZL74" s="799"/>
      <c r="IZM74" s="800"/>
      <c r="IZN74" s="800"/>
      <c r="IZO74" s="800"/>
      <c r="IZP74" s="800"/>
      <c r="IZQ74" s="800"/>
      <c r="IZR74" s="705"/>
      <c r="IZS74" s="799"/>
      <c r="IZT74" s="800"/>
      <c r="IZU74" s="800"/>
      <c r="IZV74" s="800"/>
      <c r="IZW74" s="800"/>
      <c r="IZX74" s="800"/>
      <c r="IZY74" s="705"/>
      <c r="IZZ74" s="799"/>
      <c r="JAA74" s="800"/>
      <c r="JAB74" s="800"/>
      <c r="JAC74" s="800"/>
      <c r="JAD74" s="800"/>
      <c r="JAE74" s="800"/>
      <c r="JAF74" s="705"/>
      <c r="JAG74" s="799"/>
      <c r="JAH74" s="800"/>
      <c r="JAI74" s="800"/>
      <c r="JAJ74" s="800"/>
      <c r="JAK74" s="800"/>
      <c r="JAL74" s="800"/>
      <c r="JAM74" s="705"/>
      <c r="JAN74" s="799"/>
      <c r="JAO74" s="800"/>
      <c r="JAP74" s="800"/>
      <c r="JAQ74" s="800"/>
      <c r="JAR74" s="800"/>
      <c r="JAS74" s="800"/>
      <c r="JAT74" s="705"/>
      <c r="JAU74" s="799"/>
      <c r="JAV74" s="800"/>
      <c r="JAW74" s="800"/>
      <c r="JAX74" s="800"/>
      <c r="JAY74" s="800"/>
      <c r="JAZ74" s="800"/>
      <c r="JBA74" s="705"/>
      <c r="JBB74" s="799"/>
      <c r="JBC74" s="800"/>
      <c r="JBD74" s="800"/>
      <c r="JBE74" s="800"/>
      <c r="JBF74" s="800"/>
      <c r="JBG74" s="800"/>
      <c r="JBH74" s="705"/>
      <c r="JBI74" s="799"/>
      <c r="JBJ74" s="800"/>
      <c r="JBK74" s="800"/>
      <c r="JBL74" s="800"/>
      <c r="JBM74" s="800"/>
      <c r="JBN74" s="800"/>
      <c r="JBO74" s="705"/>
      <c r="JBP74" s="799"/>
      <c r="JBQ74" s="800"/>
      <c r="JBR74" s="800"/>
      <c r="JBS74" s="800"/>
      <c r="JBT74" s="800"/>
      <c r="JBU74" s="800"/>
      <c r="JBV74" s="705"/>
      <c r="JBW74" s="799"/>
      <c r="JBX74" s="800"/>
      <c r="JBY74" s="800"/>
      <c r="JBZ74" s="800"/>
      <c r="JCA74" s="800"/>
      <c r="JCB74" s="800"/>
      <c r="JCC74" s="705"/>
      <c r="JCD74" s="799"/>
      <c r="JCE74" s="800"/>
      <c r="JCF74" s="800"/>
      <c r="JCG74" s="800"/>
      <c r="JCH74" s="800"/>
      <c r="JCI74" s="800"/>
      <c r="JCJ74" s="705"/>
      <c r="JCK74" s="799"/>
      <c r="JCL74" s="800"/>
      <c r="JCM74" s="800"/>
      <c r="JCN74" s="800"/>
      <c r="JCO74" s="800"/>
      <c r="JCP74" s="800"/>
      <c r="JCQ74" s="705"/>
      <c r="JCR74" s="799"/>
      <c r="JCS74" s="800"/>
      <c r="JCT74" s="800"/>
      <c r="JCU74" s="800"/>
      <c r="JCV74" s="800"/>
      <c r="JCW74" s="800"/>
      <c r="JCX74" s="705"/>
      <c r="JCY74" s="799"/>
      <c r="JCZ74" s="800"/>
      <c r="JDA74" s="800"/>
      <c r="JDB74" s="800"/>
      <c r="JDC74" s="800"/>
      <c r="JDD74" s="800"/>
      <c r="JDE74" s="705"/>
      <c r="JDF74" s="799"/>
      <c r="JDG74" s="800"/>
      <c r="JDH74" s="800"/>
      <c r="JDI74" s="800"/>
      <c r="JDJ74" s="800"/>
      <c r="JDK74" s="800"/>
      <c r="JDL74" s="705"/>
      <c r="JDM74" s="799"/>
      <c r="JDN74" s="800"/>
      <c r="JDO74" s="800"/>
      <c r="JDP74" s="800"/>
      <c r="JDQ74" s="800"/>
      <c r="JDR74" s="800"/>
      <c r="JDS74" s="705"/>
      <c r="JDT74" s="799"/>
      <c r="JDU74" s="800"/>
      <c r="JDV74" s="800"/>
      <c r="JDW74" s="800"/>
      <c r="JDX74" s="800"/>
      <c r="JDY74" s="800"/>
      <c r="JDZ74" s="705"/>
      <c r="JEA74" s="799"/>
      <c r="JEB74" s="800"/>
      <c r="JEC74" s="800"/>
      <c r="JED74" s="800"/>
      <c r="JEE74" s="800"/>
      <c r="JEF74" s="800"/>
      <c r="JEG74" s="705"/>
      <c r="JEH74" s="799"/>
      <c r="JEI74" s="800"/>
      <c r="JEJ74" s="800"/>
      <c r="JEK74" s="800"/>
      <c r="JEL74" s="800"/>
      <c r="JEM74" s="800"/>
      <c r="JEN74" s="705"/>
      <c r="JEO74" s="799"/>
      <c r="JEP74" s="800"/>
      <c r="JEQ74" s="800"/>
      <c r="JER74" s="800"/>
      <c r="JES74" s="800"/>
      <c r="JET74" s="800"/>
      <c r="JEU74" s="705"/>
      <c r="JEV74" s="799"/>
      <c r="JEW74" s="800"/>
      <c r="JEX74" s="800"/>
      <c r="JEY74" s="800"/>
      <c r="JEZ74" s="800"/>
      <c r="JFA74" s="800"/>
      <c r="JFB74" s="705"/>
      <c r="JFC74" s="799"/>
      <c r="JFD74" s="800"/>
      <c r="JFE74" s="800"/>
      <c r="JFF74" s="800"/>
      <c r="JFG74" s="800"/>
      <c r="JFH74" s="800"/>
      <c r="JFI74" s="705"/>
      <c r="JFJ74" s="799"/>
      <c r="JFK74" s="800"/>
      <c r="JFL74" s="800"/>
      <c r="JFM74" s="800"/>
      <c r="JFN74" s="800"/>
      <c r="JFO74" s="800"/>
      <c r="JFP74" s="705"/>
      <c r="JFQ74" s="799"/>
      <c r="JFR74" s="800"/>
      <c r="JFS74" s="800"/>
      <c r="JFT74" s="800"/>
      <c r="JFU74" s="800"/>
      <c r="JFV74" s="800"/>
      <c r="JFW74" s="705"/>
      <c r="JFX74" s="799"/>
      <c r="JFY74" s="800"/>
      <c r="JFZ74" s="800"/>
      <c r="JGA74" s="800"/>
      <c r="JGB74" s="800"/>
      <c r="JGC74" s="800"/>
      <c r="JGD74" s="705"/>
      <c r="JGE74" s="799"/>
      <c r="JGF74" s="800"/>
      <c r="JGG74" s="800"/>
      <c r="JGH74" s="800"/>
      <c r="JGI74" s="800"/>
      <c r="JGJ74" s="800"/>
      <c r="JGK74" s="705"/>
      <c r="JGL74" s="799"/>
      <c r="JGM74" s="800"/>
      <c r="JGN74" s="800"/>
      <c r="JGO74" s="800"/>
      <c r="JGP74" s="800"/>
      <c r="JGQ74" s="800"/>
      <c r="JGR74" s="705"/>
      <c r="JGS74" s="799"/>
      <c r="JGT74" s="800"/>
      <c r="JGU74" s="800"/>
      <c r="JGV74" s="800"/>
      <c r="JGW74" s="800"/>
      <c r="JGX74" s="800"/>
      <c r="JGY74" s="705"/>
      <c r="JGZ74" s="799"/>
      <c r="JHA74" s="800"/>
      <c r="JHB74" s="800"/>
      <c r="JHC74" s="800"/>
      <c r="JHD74" s="800"/>
      <c r="JHE74" s="800"/>
      <c r="JHF74" s="705"/>
      <c r="JHG74" s="799"/>
      <c r="JHH74" s="800"/>
      <c r="JHI74" s="800"/>
      <c r="JHJ74" s="800"/>
      <c r="JHK74" s="800"/>
      <c r="JHL74" s="800"/>
      <c r="JHM74" s="705"/>
      <c r="JHN74" s="799"/>
      <c r="JHO74" s="800"/>
      <c r="JHP74" s="800"/>
      <c r="JHQ74" s="800"/>
      <c r="JHR74" s="800"/>
      <c r="JHS74" s="800"/>
      <c r="JHT74" s="705"/>
      <c r="JHU74" s="799"/>
      <c r="JHV74" s="800"/>
      <c r="JHW74" s="800"/>
      <c r="JHX74" s="800"/>
      <c r="JHY74" s="800"/>
      <c r="JHZ74" s="800"/>
      <c r="JIA74" s="705"/>
      <c r="JIB74" s="799"/>
      <c r="JIC74" s="800"/>
      <c r="JID74" s="800"/>
      <c r="JIE74" s="800"/>
      <c r="JIF74" s="800"/>
      <c r="JIG74" s="800"/>
      <c r="JIH74" s="705"/>
      <c r="JII74" s="799"/>
      <c r="JIJ74" s="800"/>
      <c r="JIK74" s="800"/>
      <c r="JIL74" s="800"/>
      <c r="JIM74" s="800"/>
      <c r="JIN74" s="800"/>
      <c r="JIO74" s="705"/>
      <c r="JIP74" s="799"/>
      <c r="JIQ74" s="800"/>
      <c r="JIR74" s="800"/>
      <c r="JIS74" s="800"/>
      <c r="JIT74" s="800"/>
      <c r="JIU74" s="800"/>
      <c r="JIV74" s="705"/>
      <c r="JIW74" s="799"/>
      <c r="JIX74" s="800"/>
      <c r="JIY74" s="800"/>
      <c r="JIZ74" s="800"/>
      <c r="JJA74" s="800"/>
      <c r="JJB74" s="800"/>
      <c r="JJC74" s="705"/>
      <c r="JJD74" s="799"/>
      <c r="JJE74" s="800"/>
      <c r="JJF74" s="800"/>
      <c r="JJG74" s="800"/>
      <c r="JJH74" s="800"/>
      <c r="JJI74" s="800"/>
      <c r="JJJ74" s="705"/>
      <c r="JJK74" s="799"/>
      <c r="JJL74" s="800"/>
      <c r="JJM74" s="800"/>
      <c r="JJN74" s="800"/>
      <c r="JJO74" s="800"/>
      <c r="JJP74" s="800"/>
      <c r="JJQ74" s="705"/>
      <c r="JJR74" s="799"/>
      <c r="JJS74" s="800"/>
      <c r="JJT74" s="800"/>
      <c r="JJU74" s="800"/>
      <c r="JJV74" s="800"/>
      <c r="JJW74" s="800"/>
      <c r="JJX74" s="705"/>
      <c r="JJY74" s="799"/>
      <c r="JJZ74" s="800"/>
      <c r="JKA74" s="800"/>
      <c r="JKB74" s="800"/>
      <c r="JKC74" s="800"/>
      <c r="JKD74" s="800"/>
      <c r="JKE74" s="705"/>
      <c r="JKF74" s="799"/>
      <c r="JKG74" s="800"/>
      <c r="JKH74" s="800"/>
      <c r="JKI74" s="800"/>
      <c r="JKJ74" s="800"/>
      <c r="JKK74" s="800"/>
      <c r="JKL74" s="705"/>
      <c r="JKM74" s="799"/>
      <c r="JKN74" s="800"/>
      <c r="JKO74" s="800"/>
      <c r="JKP74" s="800"/>
      <c r="JKQ74" s="800"/>
      <c r="JKR74" s="800"/>
      <c r="JKS74" s="705"/>
      <c r="JKT74" s="799"/>
      <c r="JKU74" s="800"/>
      <c r="JKV74" s="800"/>
      <c r="JKW74" s="800"/>
      <c r="JKX74" s="800"/>
      <c r="JKY74" s="800"/>
      <c r="JKZ74" s="705"/>
      <c r="JLA74" s="799"/>
      <c r="JLB74" s="800"/>
      <c r="JLC74" s="800"/>
      <c r="JLD74" s="800"/>
      <c r="JLE74" s="800"/>
      <c r="JLF74" s="800"/>
      <c r="JLG74" s="705"/>
      <c r="JLH74" s="799"/>
      <c r="JLI74" s="800"/>
      <c r="JLJ74" s="800"/>
      <c r="JLK74" s="800"/>
      <c r="JLL74" s="800"/>
      <c r="JLM74" s="800"/>
      <c r="JLN74" s="705"/>
      <c r="JLO74" s="799"/>
      <c r="JLP74" s="800"/>
      <c r="JLQ74" s="800"/>
      <c r="JLR74" s="800"/>
      <c r="JLS74" s="800"/>
      <c r="JLT74" s="800"/>
      <c r="JLU74" s="705"/>
      <c r="JLV74" s="799"/>
      <c r="JLW74" s="800"/>
      <c r="JLX74" s="800"/>
      <c r="JLY74" s="800"/>
      <c r="JLZ74" s="800"/>
      <c r="JMA74" s="800"/>
      <c r="JMB74" s="705"/>
      <c r="JMC74" s="799"/>
      <c r="JMD74" s="800"/>
      <c r="JME74" s="800"/>
      <c r="JMF74" s="800"/>
      <c r="JMG74" s="800"/>
      <c r="JMH74" s="800"/>
      <c r="JMI74" s="705"/>
      <c r="JMJ74" s="799"/>
      <c r="JMK74" s="800"/>
      <c r="JML74" s="800"/>
      <c r="JMM74" s="800"/>
      <c r="JMN74" s="800"/>
      <c r="JMO74" s="800"/>
      <c r="JMP74" s="705"/>
      <c r="JMQ74" s="799"/>
      <c r="JMR74" s="800"/>
      <c r="JMS74" s="800"/>
      <c r="JMT74" s="800"/>
      <c r="JMU74" s="800"/>
      <c r="JMV74" s="800"/>
      <c r="JMW74" s="705"/>
      <c r="JMX74" s="799"/>
      <c r="JMY74" s="800"/>
      <c r="JMZ74" s="800"/>
      <c r="JNA74" s="800"/>
      <c r="JNB74" s="800"/>
      <c r="JNC74" s="800"/>
      <c r="JND74" s="705"/>
      <c r="JNE74" s="799"/>
      <c r="JNF74" s="800"/>
      <c r="JNG74" s="800"/>
      <c r="JNH74" s="800"/>
      <c r="JNI74" s="800"/>
      <c r="JNJ74" s="800"/>
      <c r="JNK74" s="705"/>
      <c r="JNL74" s="799"/>
      <c r="JNM74" s="800"/>
      <c r="JNN74" s="800"/>
      <c r="JNO74" s="800"/>
      <c r="JNP74" s="800"/>
      <c r="JNQ74" s="800"/>
      <c r="JNR74" s="705"/>
      <c r="JNS74" s="799"/>
      <c r="JNT74" s="800"/>
      <c r="JNU74" s="800"/>
      <c r="JNV74" s="800"/>
      <c r="JNW74" s="800"/>
      <c r="JNX74" s="800"/>
      <c r="JNY74" s="705"/>
      <c r="JNZ74" s="799"/>
      <c r="JOA74" s="800"/>
      <c r="JOB74" s="800"/>
      <c r="JOC74" s="800"/>
      <c r="JOD74" s="800"/>
      <c r="JOE74" s="800"/>
      <c r="JOF74" s="705"/>
      <c r="JOG74" s="799"/>
      <c r="JOH74" s="800"/>
      <c r="JOI74" s="800"/>
      <c r="JOJ74" s="800"/>
      <c r="JOK74" s="800"/>
      <c r="JOL74" s="800"/>
      <c r="JOM74" s="705"/>
      <c r="JON74" s="799"/>
      <c r="JOO74" s="800"/>
      <c r="JOP74" s="800"/>
      <c r="JOQ74" s="800"/>
      <c r="JOR74" s="800"/>
      <c r="JOS74" s="800"/>
      <c r="JOT74" s="705"/>
      <c r="JOU74" s="799"/>
      <c r="JOV74" s="800"/>
      <c r="JOW74" s="800"/>
      <c r="JOX74" s="800"/>
      <c r="JOY74" s="800"/>
      <c r="JOZ74" s="800"/>
      <c r="JPA74" s="705"/>
      <c r="JPB74" s="799"/>
      <c r="JPC74" s="800"/>
      <c r="JPD74" s="800"/>
      <c r="JPE74" s="800"/>
      <c r="JPF74" s="800"/>
      <c r="JPG74" s="800"/>
      <c r="JPH74" s="705"/>
      <c r="JPI74" s="799"/>
      <c r="JPJ74" s="800"/>
      <c r="JPK74" s="800"/>
      <c r="JPL74" s="800"/>
      <c r="JPM74" s="800"/>
      <c r="JPN74" s="800"/>
      <c r="JPO74" s="705"/>
      <c r="JPP74" s="799"/>
      <c r="JPQ74" s="800"/>
      <c r="JPR74" s="800"/>
      <c r="JPS74" s="800"/>
      <c r="JPT74" s="800"/>
      <c r="JPU74" s="800"/>
      <c r="JPV74" s="705"/>
      <c r="JPW74" s="799"/>
      <c r="JPX74" s="800"/>
      <c r="JPY74" s="800"/>
      <c r="JPZ74" s="800"/>
      <c r="JQA74" s="800"/>
      <c r="JQB74" s="800"/>
      <c r="JQC74" s="705"/>
      <c r="JQD74" s="799"/>
      <c r="JQE74" s="800"/>
      <c r="JQF74" s="800"/>
      <c r="JQG74" s="800"/>
      <c r="JQH74" s="800"/>
      <c r="JQI74" s="800"/>
      <c r="JQJ74" s="705"/>
      <c r="JQK74" s="799"/>
      <c r="JQL74" s="800"/>
      <c r="JQM74" s="800"/>
      <c r="JQN74" s="800"/>
      <c r="JQO74" s="800"/>
      <c r="JQP74" s="800"/>
      <c r="JQQ74" s="705"/>
      <c r="JQR74" s="799"/>
      <c r="JQS74" s="800"/>
      <c r="JQT74" s="800"/>
      <c r="JQU74" s="800"/>
      <c r="JQV74" s="800"/>
      <c r="JQW74" s="800"/>
      <c r="JQX74" s="705"/>
      <c r="JQY74" s="799"/>
      <c r="JQZ74" s="800"/>
      <c r="JRA74" s="800"/>
      <c r="JRB74" s="800"/>
      <c r="JRC74" s="800"/>
      <c r="JRD74" s="800"/>
      <c r="JRE74" s="705"/>
      <c r="JRF74" s="799"/>
      <c r="JRG74" s="800"/>
      <c r="JRH74" s="800"/>
      <c r="JRI74" s="800"/>
      <c r="JRJ74" s="800"/>
      <c r="JRK74" s="800"/>
      <c r="JRL74" s="705"/>
      <c r="JRM74" s="799"/>
      <c r="JRN74" s="800"/>
      <c r="JRO74" s="800"/>
      <c r="JRP74" s="800"/>
      <c r="JRQ74" s="800"/>
      <c r="JRR74" s="800"/>
      <c r="JRS74" s="705"/>
      <c r="JRT74" s="799"/>
      <c r="JRU74" s="800"/>
      <c r="JRV74" s="800"/>
      <c r="JRW74" s="800"/>
      <c r="JRX74" s="800"/>
      <c r="JRY74" s="800"/>
      <c r="JRZ74" s="705"/>
      <c r="JSA74" s="799"/>
      <c r="JSB74" s="800"/>
      <c r="JSC74" s="800"/>
      <c r="JSD74" s="800"/>
      <c r="JSE74" s="800"/>
      <c r="JSF74" s="800"/>
      <c r="JSG74" s="705"/>
      <c r="JSH74" s="799"/>
      <c r="JSI74" s="800"/>
      <c r="JSJ74" s="800"/>
      <c r="JSK74" s="800"/>
      <c r="JSL74" s="800"/>
      <c r="JSM74" s="800"/>
      <c r="JSN74" s="705"/>
      <c r="JSO74" s="799"/>
      <c r="JSP74" s="800"/>
      <c r="JSQ74" s="800"/>
      <c r="JSR74" s="800"/>
      <c r="JSS74" s="800"/>
      <c r="JST74" s="800"/>
      <c r="JSU74" s="705"/>
      <c r="JSV74" s="799"/>
      <c r="JSW74" s="800"/>
      <c r="JSX74" s="800"/>
      <c r="JSY74" s="800"/>
      <c r="JSZ74" s="800"/>
      <c r="JTA74" s="800"/>
      <c r="JTB74" s="705"/>
      <c r="JTC74" s="799"/>
      <c r="JTD74" s="800"/>
      <c r="JTE74" s="800"/>
      <c r="JTF74" s="800"/>
      <c r="JTG74" s="800"/>
      <c r="JTH74" s="800"/>
      <c r="JTI74" s="705"/>
      <c r="JTJ74" s="799"/>
      <c r="JTK74" s="800"/>
      <c r="JTL74" s="800"/>
      <c r="JTM74" s="800"/>
      <c r="JTN74" s="800"/>
      <c r="JTO74" s="800"/>
      <c r="JTP74" s="705"/>
      <c r="JTQ74" s="799"/>
      <c r="JTR74" s="800"/>
      <c r="JTS74" s="800"/>
      <c r="JTT74" s="800"/>
      <c r="JTU74" s="800"/>
      <c r="JTV74" s="800"/>
      <c r="JTW74" s="705"/>
      <c r="JTX74" s="799"/>
      <c r="JTY74" s="800"/>
      <c r="JTZ74" s="800"/>
      <c r="JUA74" s="800"/>
      <c r="JUB74" s="800"/>
      <c r="JUC74" s="800"/>
      <c r="JUD74" s="705"/>
      <c r="JUE74" s="799"/>
      <c r="JUF74" s="800"/>
      <c r="JUG74" s="800"/>
      <c r="JUH74" s="800"/>
      <c r="JUI74" s="800"/>
      <c r="JUJ74" s="800"/>
      <c r="JUK74" s="705"/>
      <c r="JUL74" s="799"/>
      <c r="JUM74" s="800"/>
      <c r="JUN74" s="800"/>
      <c r="JUO74" s="800"/>
      <c r="JUP74" s="800"/>
      <c r="JUQ74" s="800"/>
      <c r="JUR74" s="705"/>
      <c r="JUS74" s="799"/>
      <c r="JUT74" s="800"/>
      <c r="JUU74" s="800"/>
      <c r="JUV74" s="800"/>
      <c r="JUW74" s="800"/>
      <c r="JUX74" s="800"/>
      <c r="JUY74" s="705"/>
      <c r="JUZ74" s="799"/>
      <c r="JVA74" s="800"/>
      <c r="JVB74" s="800"/>
      <c r="JVC74" s="800"/>
      <c r="JVD74" s="800"/>
      <c r="JVE74" s="800"/>
      <c r="JVF74" s="705"/>
      <c r="JVG74" s="799"/>
      <c r="JVH74" s="800"/>
      <c r="JVI74" s="800"/>
      <c r="JVJ74" s="800"/>
      <c r="JVK74" s="800"/>
      <c r="JVL74" s="800"/>
      <c r="JVM74" s="705"/>
      <c r="JVN74" s="799"/>
      <c r="JVO74" s="800"/>
      <c r="JVP74" s="800"/>
      <c r="JVQ74" s="800"/>
      <c r="JVR74" s="800"/>
      <c r="JVS74" s="800"/>
      <c r="JVT74" s="705"/>
      <c r="JVU74" s="799"/>
      <c r="JVV74" s="800"/>
      <c r="JVW74" s="800"/>
      <c r="JVX74" s="800"/>
      <c r="JVY74" s="800"/>
      <c r="JVZ74" s="800"/>
      <c r="JWA74" s="705"/>
      <c r="JWB74" s="799"/>
      <c r="JWC74" s="800"/>
      <c r="JWD74" s="800"/>
      <c r="JWE74" s="800"/>
      <c r="JWF74" s="800"/>
      <c r="JWG74" s="800"/>
      <c r="JWH74" s="705"/>
      <c r="JWI74" s="799"/>
      <c r="JWJ74" s="800"/>
      <c r="JWK74" s="800"/>
      <c r="JWL74" s="800"/>
      <c r="JWM74" s="800"/>
      <c r="JWN74" s="800"/>
      <c r="JWO74" s="705"/>
      <c r="JWP74" s="799"/>
      <c r="JWQ74" s="800"/>
      <c r="JWR74" s="800"/>
      <c r="JWS74" s="800"/>
      <c r="JWT74" s="800"/>
      <c r="JWU74" s="800"/>
      <c r="JWV74" s="705"/>
      <c r="JWW74" s="799"/>
      <c r="JWX74" s="800"/>
      <c r="JWY74" s="800"/>
      <c r="JWZ74" s="800"/>
      <c r="JXA74" s="800"/>
      <c r="JXB74" s="800"/>
      <c r="JXC74" s="705"/>
      <c r="JXD74" s="799"/>
      <c r="JXE74" s="800"/>
      <c r="JXF74" s="800"/>
      <c r="JXG74" s="800"/>
      <c r="JXH74" s="800"/>
      <c r="JXI74" s="800"/>
      <c r="JXJ74" s="705"/>
      <c r="JXK74" s="799"/>
      <c r="JXL74" s="800"/>
      <c r="JXM74" s="800"/>
      <c r="JXN74" s="800"/>
      <c r="JXO74" s="800"/>
      <c r="JXP74" s="800"/>
      <c r="JXQ74" s="705"/>
      <c r="JXR74" s="799"/>
      <c r="JXS74" s="800"/>
      <c r="JXT74" s="800"/>
      <c r="JXU74" s="800"/>
      <c r="JXV74" s="800"/>
      <c r="JXW74" s="800"/>
      <c r="JXX74" s="705"/>
      <c r="JXY74" s="799"/>
      <c r="JXZ74" s="800"/>
      <c r="JYA74" s="800"/>
      <c r="JYB74" s="800"/>
      <c r="JYC74" s="800"/>
      <c r="JYD74" s="800"/>
      <c r="JYE74" s="705"/>
      <c r="JYF74" s="799"/>
      <c r="JYG74" s="800"/>
      <c r="JYH74" s="800"/>
      <c r="JYI74" s="800"/>
      <c r="JYJ74" s="800"/>
      <c r="JYK74" s="800"/>
      <c r="JYL74" s="705"/>
      <c r="JYM74" s="799"/>
      <c r="JYN74" s="800"/>
      <c r="JYO74" s="800"/>
      <c r="JYP74" s="800"/>
      <c r="JYQ74" s="800"/>
      <c r="JYR74" s="800"/>
      <c r="JYS74" s="705"/>
      <c r="JYT74" s="799"/>
      <c r="JYU74" s="800"/>
      <c r="JYV74" s="800"/>
      <c r="JYW74" s="800"/>
      <c r="JYX74" s="800"/>
      <c r="JYY74" s="800"/>
      <c r="JYZ74" s="705"/>
      <c r="JZA74" s="799"/>
      <c r="JZB74" s="800"/>
      <c r="JZC74" s="800"/>
      <c r="JZD74" s="800"/>
      <c r="JZE74" s="800"/>
      <c r="JZF74" s="800"/>
      <c r="JZG74" s="705"/>
      <c r="JZH74" s="799"/>
      <c r="JZI74" s="800"/>
      <c r="JZJ74" s="800"/>
      <c r="JZK74" s="800"/>
      <c r="JZL74" s="800"/>
      <c r="JZM74" s="800"/>
      <c r="JZN74" s="705"/>
      <c r="JZO74" s="799"/>
      <c r="JZP74" s="800"/>
      <c r="JZQ74" s="800"/>
      <c r="JZR74" s="800"/>
      <c r="JZS74" s="800"/>
      <c r="JZT74" s="800"/>
      <c r="JZU74" s="705"/>
      <c r="JZV74" s="799"/>
      <c r="JZW74" s="800"/>
      <c r="JZX74" s="800"/>
      <c r="JZY74" s="800"/>
      <c r="JZZ74" s="800"/>
      <c r="KAA74" s="800"/>
      <c r="KAB74" s="705"/>
      <c r="KAC74" s="799"/>
      <c r="KAD74" s="800"/>
      <c r="KAE74" s="800"/>
      <c r="KAF74" s="800"/>
      <c r="KAG74" s="800"/>
      <c r="KAH74" s="800"/>
      <c r="KAI74" s="705"/>
      <c r="KAJ74" s="799"/>
      <c r="KAK74" s="800"/>
      <c r="KAL74" s="800"/>
      <c r="KAM74" s="800"/>
      <c r="KAN74" s="800"/>
      <c r="KAO74" s="800"/>
      <c r="KAP74" s="705"/>
      <c r="KAQ74" s="799"/>
      <c r="KAR74" s="800"/>
      <c r="KAS74" s="800"/>
      <c r="KAT74" s="800"/>
      <c r="KAU74" s="800"/>
      <c r="KAV74" s="800"/>
      <c r="KAW74" s="705"/>
      <c r="KAX74" s="799"/>
      <c r="KAY74" s="800"/>
      <c r="KAZ74" s="800"/>
      <c r="KBA74" s="800"/>
      <c r="KBB74" s="800"/>
      <c r="KBC74" s="800"/>
      <c r="KBD74" s="705"/>
      <c r="KBE74" s="799"/>
      <c r="KBF74" s="800"/>
      <c r="KBG74" s="800"/>
      <c r="KBH74" s="800"/>
      <c r="KBI74" s="800"/>
      <c r="KBJ74" s="800"/>
      <c r="KBK74" s="705"/>
      <c r="KBL74" s="799"/>
      <c r="KBM74" s="800"/>
      <c r="KBN74" s="800"/>
      <c r="KBO74" s="800"/>
      <c r="KBP74" s="800"/>
      <c r="KBQ74" s="800"/>
      <c r="KBR74" s="705"/>
      <c r="KBS74" s="799"/>
      <c r="KBT74" s="800"/>
      <c r="KBU74" s="800"/>
      <c r="KBV74" s="800"/>
      <c r="KBW74" s="800"/>
      <c r="KBX74" s="800"/>
      <c r="KBY74" s="705"/>
      <c r="KBZ74" s="799"/>
      <c r="KCA74" s="800"/>
      <c r="KCB74" s="800"/>
      <c r="KCC74" s="800"/>
      <c r="KCD74" s="800"/>
      <c r="KCE74" s="800"/>
      <c r="KCF74" s="705"/>
      <c r="KCG74" s="799"/>
      <c r="KCH74" s="800"/>
      <c r="KCI74" s="800"/>
      <c r="KCJ74" s="800"/>
      <c r="KCK74" s="800"/>
      <c r="KCL74" s="800"/>
      <c r="KCM74" s="705"/>
      <c r="KCN74" s="799"/>
      <c r="KCO74" s="800"/>
      <c r="KCP74" s="800"/>
      <c r="KCQ74" s="800"/>
      <c r="KCR74" s="800"/>
      <c r="KCS74" s="800"/>
      <c r="KCT74" s="705"/>
      <c r="KCU74" s="799"/>
      <c r="KCV74" s="800"/>
      <c r="KCW74" s="800"/>
      <c r="KCX74" s="800"/>
      <c r="KCY74" s="800"/>
      <c r="KCZ74" s="800"/>
      <c r="KDA74" s="705"/>
      <c r="KDB74" s="799"/>
      <c r="KDC74" s="800"/>
      <c r="KDD74" s="800"/>
      <c r="KDE74" s="800"/>
      <c r="KDF74" s="800"/>
      <c r="KDG74" s="800"/>
      <c r="KDH74" s="705"/>
      <c r="KDI74" s="799"/>
      <c r="KDJ74" s="800"/>
      <c r="KDK74" s="800"/>
      <c r="KDL74" s="800"/>
      <c r="KDM74" s="800"/>
      <c r="KDN74" s="800"/>
      <c r="KDO74" s="705"/>
      <c r="KDP74" s="799"/>
      <c r="KDQ74" s="800"/>
      <c r="KDR74" s="800"/>
      <c r="KDS74" s="800"/>
      <c r="KDT74" s="800"/>
      <c r="KDU74" s="800"/>
      <c r="KDV74" s="705"/>
      <c r="KDW74" s="799"/>
      <c r="KDX74" s="800"/>
      <c r="KDY74" s="800"/>
      <c r="KDZ74" s="800"/>
      <c r="KEA74" s="800"/>
      <c r="KEB74" s="800"/>
      <c r="KEC74" s="705"/>
      <c r="KED74" s="799"/>
      <c r="KEE74" s="800"/>
      <c r="KEF74" s="800"/>
      <c r="KEG74" s="800"/>
      <c r="KEH74" s="800"/>
      <c r="KEI74" s="800"/>
      <c r="KEJ74" s="705"/>
      <c r="KEK74" s="799"/>
      <c r="KEL74" s="800"/>
      <c r="KEM74" s="800"/>
      <c r="KEN74" s="800"/>
      <c r="KEO74" s="800"/>
      <c r="KEP74" s="800"/>
      <c r="KEQ74" s="705"/>
      <c r="KER74" s="799"/>
      <c r="KES74" s="800"/>
      <c r="KET74" s="800"/>
      <c r="KEU74" s="800"/>
      <c r="KEV74" s="800"/>
      <c r="KEW74" s="800"/>
      <c r="KEX74" s="705"/>
      <c r="KEY74" s="799"/>
      <c r="KEZ74" s="800"/>
      <c r="KFA74" s="800"/>
      <c r="KFB74" s="800"/>
      <c r="KFC74" s="800"/>
      <c r="KFD74" s="800"/>
      <c r="KFE74" s="705"/>
      <c r="KFF74" s="799"/>
      <c r="KFG74" s="800"/>
      <c r="KFH74" s="800"/>
      <c r="KFI74" s="800"/>
      <c r="KFJ74" s="800"/>
      <c r="KFK74" s="800"/>
      <c r="KFL74" s="705"/>
      <c r="KFM74" s="799"/>
      <c r="KFN74" s="800"/>
      <c r="KFO74" s="800"/>
      <c r="KFP74" s="800"/>
      <c r="KFQ74" s="800"/>
      <c r="KFR74" s="800"/>
      <c r="KFS74" s="705"/>
      <c r="KFT74" s="799"/>
      <c r="KFU74" s="800"/>
      <c r="KFV74" s="800"/>
      <c r="KFW74" s="800"/>
      <c r="KFX74" s="800"/>
      <c r="KFY74" s="800"/>
      <c r="KFZ74" s="705"/>
      <c r="KGA74" s="799"/>
      <c r="KGB74" s="800"/>
      <c r="KGC74" s="800"/>
      <c r="KGD74" s="800"/>
      <c r="KGE74" s="800"/>
      <c r="KGF74" s="800"/>
      <c r="KGG74" s="705"/>
      <c r="KGH74" s="799"/>
      <c r="KGI74" s="800"/>
      <c r="KGJ74" s="800"/>
      <c r="KGK74" s="800"/>
      <c r="KGL74" s="800"/>
      <c r="KGM74" s="800"/>
      <c r="KGN74" s="705"/>
      <c r="KGO74" s="799"/>
      <c r="KGP74" s="800"/>
      <c r="KGQ74" s="800"/>
      <c r="KGR74" s="800"/>
      <c r="KGS74" s="800"/>
      <c r="KGT74" s="800"/>
      <c r="KGU74" s="705"/>
      <c r="KGV74" s="799"/>
      <c r="KGW74" s="800"/>
      <c r="KGX74" s="800"/>
      <c r="KGY74" s="800"/>
      <c r="KGZ74" s="800"/>
      <c r="KHA74" s="800"/>
      <c r="KHB74" s="705"/>
      <c r="KHC74" s="799"/>
      <c r="KHD74" s="800"/>
      <c r="KHE74" s="800"/>
      <c r="KHF74" s="800"/>
      <c r="KHG74" s="800"/>
      <c r="KHH74" s="800"/>
      <c r="KHI74" s="705"/>
      <c r="KHJ74" s="799"/>
      <c r="KHK74" s="800"/>
      <c r="KHL74" s="800"/>
      <c r="KHM74" s="800"/>
      <c r="KHN74" s="800"/>
      <c r="KHO74" s="800"/>
      <c r="KHP74" s="705"/>
      <c r="KHQ74" s="799"/>
      <c r="KHR74" s="800"/>
      <c r="KHS74" s="800"/>
      <c r="KHT74" s="800"/>
      <c r="KHU74" s="800"/>
      <c r="KHV74" s="800"/>
      <c r="KHW74" s="705"/>
      <c r="KHX74" s="799"/>
      <c r="KHY74" s="800"/>
      <c r="KHZ74" s="800"/>
      <c r="KIA74" s="800"/>
      <c r="KIB74" s="800"/>
      <c r="KIC74" s="800"/>
      <c r="KID74" s="705"/>
      <c r="KIE74" s="799"/>
      <c r="KIF74" s="800"/>
      <c r="KIG74" s="800"/>
      <c r="KIH74" s="800"/>
      <c r="KII74" s="800"/>
      <c r="KIJ74" s="800"/>
      <c r="KIK74" s="705"/>
      <c r="KIL74" s="799"/>
      <c r="KIM74" s="800"/>
      <c r="KIN74" s="800"/>
      <c r="KIO74" s="800"/>
      <c r="KIP74" s="800"/>
      <c r="KIQ74" s="800"/>
      <c r="KIR74" s="705"/>
      <c r="KIS74" s="799"/>
      <c r="KIT74" s="800"/>
      <c r="KIU74" s="800"/>
      <c r="KIV74" s="800"/>
      <c r="KIW74" s="800"/>
      <c r="KIX74" s="800"/>
      <c r="KIY74" s="705"/>
      <c r="KIZ74" s="799"/>
      <c r="KJA74" s="800"/>
      <c r="KJB74" s="800"/>
      <c r="KJC74" s="800"/>
      <c r="KJD74" s="800"/>
      <c r="KJE74" s="800"/>
      <c r="KJF74" s="705"/>
      <c r="KJG74" s="799"/>
      <c r="KJH74" s="800"/>
      <c r="KJI74" s="800"/>
      <c r="KJJ74" s="800"/>
      <c r="KJK74" s="800"/>
      <c r="KJL74" s="800"/>
      <c r="KJM74" s="705"/>
      <c r="KJN74" s="799"/>
      <c r="KJO74" s="800"/>
      <c r="KJP74" s="800"/>
      <c r="KJQ74" s="800"/>
      <c r="KJR74" s="800"/>
      <c r="KJS74" s="800"/>
      <c r="KJT74" s="705"/>
      <c r="KJU74" s="799"/>
      <c r="KJV74" s="800"/>
      <c r="KJW74" s="800"/>
      <c r="KJX74" s="800"/>
      <c r="KJY74" s="800"/>
      <c r="KJZ74" s="800"/>
      <c r="KKA74" s="705"/>
      <c r="KKB74" s="799"/>
      <c r="KKC74" s="800"/>
      <c r="KKD74" s="800"/>
      <c r="KKE74" s="800"/>
      <c r="KKF74" s="800"/>
      <c r="KKG74" s="800"/>
      <c r="KKH74" s="705"/>
      <c r="KKI74" s="799"/>
      <c r="KKJ74" s="800"/>
      <c r="KKK74" s="800"/>
      <c r="KKL74" s="800"/>
      <c r="KKM74" s="800"/>
      <c r="KKN74" s="800"/>
      <c r="KKO74" s="705"/>
      <c r="KKP74" s="799"/>
      <c r="KKQ74" s="800"/>
      <c r="KKR74" s="800"/>
      <c r="KKS74" s="800"/>
      <c r="KKT74" s="800"/>
      <c r="KKU74" s="800"/>
      <c r="KKV74" s="705"/>
      <c r="KKW74" s="799"/>
      <c r="KKX74" s="800"/>
      <c r="KKY74" s="800"/>
      <c r="KKZ74" s="800"/>
      <c r="KLA74" s="800"/>
      <c r="KLB74" s="800"/>
      <c r="KLC74" s="705"/>
      <c r="KLD74" s="799"/>
      <c r="KLE74" s="800"/>
      <c r="KLF74" s="800"/>
      <c r="KLG74" s="800"/>
      <c r="KLH74" s="800"/>
      <c r="KLI74" s="800"/>
      <c r="KLJ74" s="705"/>
      <c r="KLK74" s="799"/>
      <c r="KLL74" s="800"/>
      <c r="KLM74" s="800"/>
      <c r="KLN74" s="800"/>
      <c r="KLO74" s="800"/>
      <c r="KLP74" s="800"/>
      <c r="KLQ74" s="705"/>
      <c r="KLR74" s="799"/>
      <c r="KLS74" s="800"/>
      <c r="KLT74" s="800"/>
      <c r="KLU74" s="800"/>
      <c r="KLV74" s="800"/>
      <c r="KLW74" s="800"/>
      <c r="KLX74" s="705"/>
      <c r="KLY74" s="799"/>
      <c r="KLZ74" s="800"/>
      <c r="KMA74" s="800"/>
      <c r="KMB74" s="800"/>
      <c r="KMC74" s="800"/>
      <c r="KMD74" s="800"/>
      <c r="KME74" s="705"/>
      <c r="KMF74" s="799"/>
      <c r="KMG74" s="800"/>
      <c r="KMH74" s="800"/>
      <c r="KMI74" s="800"/>
      <c r="KMJ74" s="800"/>
      <c r="KMK74" s="800"/>
      <c r="KML74" s="705"/>
      <c r="KMM74" s="799"/>
      <c r="KMN74" s="800"/>
      <c r="KMO74" s="800"/>
      <c r="KMP74" s="800"/>
      <c r="KMQ74" s="800"/>
      <c r="KMR74" s="800"/>
      <c r="KMS74" s="705"/>
      <c r="KMT74" s="799"/>
      <c r="KMU74" s="800"/>
      <c r="KMV74" s="800"/>
      <c r="KMW74" s="800"/>
      <c r="KMX74" s="800"/>
      <c r="KMY74" s="800"/>
      <c r="KMZ74" s="705"/>
      <c r="KNA74" s="799"/>
      <c r="KNB74" s="800"/>
      <c r="KNC74" s="800"/>
      <c r="KND74" s="800"/>
      <c r="KNE74" s="800"/>
      <c r="KNF74" s="800"/>
      <c r="KNG74" s="705"/>
      <c r="KNH74" s="799"/>
      <c r="KNI74" s="800"/>
      <c r="KNJ74" s="800"/>
      <c r="KNK74" s="800"/>
      <c r="KNL74" s="800"/>
      <c r="KNM74" s="800"/>
      <c r="KNN74" s="705"/>
      <c r="KNO74" s="799"/>
      <c r="KNP74" s="800"/>
      <c r="KNQ74" s="800"/>
      <c r="KNR74" s="800"/>
      <c r="KNS74" s="800"/>
      <c r="KNT74" s="800"/>
      <c r="KNU74" s="705"/>
      <c r="KNV74" s="799"/>
      <c r="KNW74" s="800"/>
      <c r="KNX74" s="800"/>
      <c r="KNY74" s="800"/>
      <c r="KNZ74" s="800"/>
      <c r="KOA74" s="800"/>
      <c r="KOB74" s="705"/>
      <c r="KOC74" s="799"/>
      <c r="KOD74" s="800"/>
      <c r="KOE74" s="800"/>
      <c r="KOF74" s="800"/>
      <c r="KOG74" s="800"/>
      <c r="KOH74" s="800"/>
      <c r="KOI74" s="705"/>
      <c r="KOJ74" s="799"/>
      <c r="KOK74" s="800"/>
      <c r="KOL74" s="800"/>
      <c r="KOM74" s="800"/>
      <c r="KON74" s="800"/>
      <c r="KOO74" s="800"/>
      <c r="KOP74" s="705"/>
      <c r="KOQ74" s="799"/>
      <c r="KOR74" s="800"/>
      <c r="KOS74" s="800"/>
      <c r="KOT74" s="800"/>
      <c r="KOU74" s="800"/>
      <c r="KOV74" s="800"/>
      <c r="KOW74" s="705"/>
      <c r="KOX74" s="799"/>
      <c r="KOY74" s="800"/>
      <c r="KOZ74" s="800"/>
      <c r="KPA74" s="800"/>
      <c r="KPB74" s="800"/>
      <c r="KPC74" s="800"/>
      <c r="KPD74" s="705"/>
      <c r="KPE74" s="799"/>
      <c r="KPF74" s="800"/>
      <c r="KPG74" s="800"/>
      <c r="KPH74" s="800"/>
      <c r="KPI74" s="800"/>
      <c r="KPJ74" s="800"/>
      <c r="KPK74" s="705"/>
      <c r="KPL74" s="799"/>
      <c r="KPM74" s="800"/>
      <c r="KPN74" s="800"/>
      <c r="KPO74" s="800"/>
      <c r="KPP74" s="800"/>
      <c r="KPQ74" s="800"/>
      <c r="KPR74" s="705"/>
      <c r="KPS74" s="799"/>
      <c r="KPT74" s="800"/>
      <c r="KPU74" s="800"/>
      <c r="KPV74" s="800"/>
      <c r="KPW74" s="800"/>
      <c r="KPX74" s="800"/>
      <c r="KPY74" s="705"/>
      <c r="KPZ74" s="799"/>
      <c r="KQA74" s="800"/>
      <c r="KQB74" s="800"/>
      <c r="KQC74" s="800"/>
      <c r="KQD74" s="800"/>
      <c r="KQE74" s="800"/>
      <c r="KQF74" s="705"/>
      <c r="KQG74" s="799"/>
      <c r="KQH74" s="800"/>
      <c r="KQI74" s="800"/>
      <c r="KQJ74" s="800"/>
      <c r="KQK74" s="800"/>
      <c r="KQL74" s="800"/>
      <c r="KQM74" s="705"/>
      <c r="KQN74" s="799"/>
      <c r="KQO74" s="800"/>
      <c r="KQP74" s="800"/>
      <c r="KQQ74" s="800"/>
      <c r="KQR74" s="800"/>
      <c r="KQS74" s="800"/>
      <c r="KQT74" s="705"/>
      <c r="KQU74" s="799"/>
      <c r="KQV74" s="800"/>
      <c r="KQW74" s="800"/>
      <c r="KQX74" s="800"/>
      <c r="KQY74" s="800"/>
      <c r="KQZ74" s="800"/>
      <c r="KRA74" s="705"/>
      <c r="KRB74" s="799"/>
      <c r="KRC74" s="800"/>
      <c r="KRD74" s="800"/>
      <c r="KRE74" s="800"/>
      <c r="KRF74" s="800"/>
      <c r="KRG74" s="800"/>
      <c r="KRH74" s="705"/>
      <c r="KRI74" s="799"/>
      <c r="KRJ74" s="800"/>
      <c r="KRK74" s="800"/>
      <c r="KRL74" s="800"/>
      <c r="KRM74" s="800"/>
      <c r="KRN74" s="800"/>
      <c r="KRO74" s="705"/>
      <c r="KRP74" s="799"/>
      <c r="KRQ74" s="800"/>
      <c r="KRR74" s="800"/>
      <c r="KRS74" s="800"/>
      <c r="KRT74" s="800"/>
      <c r="KRU74" s="800"/>
      <c r="KRV74" s="705"/>
      <c r="KRW74" s="799"/>
      <c r="KRX74" s="800"/>
      <c r="KRY74" s="800"/>
      <c r="KRZ74" s="800"/>
      <c r="KSA74" s="800"/>
      <c r="KSB74" s="800"/>
      <c r="KSC74" s="705"/>
      <c r="KSD74" s="799"/>
      <c r="KSE74" s="800"/>
      <c r="KSF74" s="800"/>
      <c r="KSG74" s="800"/>
      <c r="KSH74" s="800"/>
      <c r="KSI74" s="800"/>
      <c r="KSJ74" s="705"/>
      <c r="KSK74" s="799"/>
      <c r="KSL74" s="800"/>
      <c r="KSM74" s="800"/>
      <c r="KSN74" s="800"/>
      <c r="KSO74" s="800"/>
      <c r="KSP74" s="800"/>
      <c r="KSQ74" s="705"/>
      <c r="KSR74" s="799"/>
      <c r="KSS74" s="800"/>
      <c r="KST74" s="800"/>
      <c r="KSU74" s="800"/>
      <c r="KSV74" s="800"/>
      <c r="KSW74" s="800"/>
      <c r="KSX74" s="705"/>
      <c r="KSY74" s="799"/>
      <c r="KSZ74" s="800"/>
      <c r="KTA74" s="800"/>
      <c r="KTB74" s="800"/>
      <c r="KTC74" s="800"/>
      <c r="KTD74" s="800"/>
      <c r="KTE74" s="705"/>
      <c r="KTF74" s="799"/>
      <c r="KTG74" s="800"/>
      <c r="KTH74" s="800"/>
      <c r="KTI74" s="800"/>
      <c r="KTJ74" s="800"/>
      <c r="KTK74" s="800"/>
      <c r="KTL74" s="705"/>
      <c r="KTM74" s="799"/>
      <c r="KTN74" s="800"/>
      <c r="KTO74" s="800"/>
      <c r="KTP74" s="800"/>
      <c r="KTQ74" s="800"/>
      <c r="KTR74" s="800"/>
      <c r="KTS74" s="705"/>
      <c r="KTT74" s="799"/>
      <c r="KTU74" s="800"/>
      <c r="KTV74" s="800"/>
      <c r="KTW74" s="800"/>
      <c r="KTX74" s="800"/>
      <c r="KTY74" s="800"/>
      <c r="KTZ74" s="705"/>
      <c r="KUA74" s="799"/>
      <c r="KUB74" s="800"/>
      <c r="KUC74" s="800"/>
      <c r="KUD74" s="800"/>
      <c r="KUE74" s="800"/>
      <c r="KUF74" s="800"/>
      <c r="KUG74" s="705"/>
      <c r="KUH74" s="799"/>
      <c r="KUI74" s="800"/>
      <c r="KUJ74" s="800"/>
      <c r="KUK74" s="800"/>
      <c r="KUL74" s="800"/>
      <c r="KUM74" s="800"/>
      <c r="KUN74" s="705"/>
      <c r="KUO74" s="799"/>
      <c r="KUP74" s="800"/>
      <c r="KUQ74" s="800"/>
      <c r="KUR74" s="800"/>
      <c r="KUS74" s="800"/>
      <c r="KUT74" s="800"/>
      <c r="KUU74" s="705"/>
      <c r="KUV74" s="799"/>
      <c r="KUW74" s="800"/>
      <c r="KUX74" s="800"/>
      <c r="KUY74" s="800"/>
      <c r="KUZ74" s="800"/>
      <c r="KVA74" s="800"/>
      <c r="KVB74" s="705"/>
      <c r="KVC74" s="799"/>
      <c r="KVD74" s="800"/>
      <c r="KVE74" s="800"/>
      <c r="KVF74" s="800"/>
      <c r="KVG74" s="800"/>
      <c r="KVH74" s="800"/>
      <c r="KVI74" s="705"/>
      <c r="KVJ74" s="799"/>
      <c r="KVK74" s="800"/>
      <c r="KVL74" s="800"/>
      <c r="KVM74" s="800"/>
      <c r="KVN74" s="800"/>
      <c r="KVO74" s="800"/>
      <c r="KVP74" s="705"/>
      <c r="KVQ74" s="799"/>
      <c r="KVR74" s="800"/>
      <c r="KVS74" s="800"/>
      <c r="KVT74" s="800"/>
      <c r="KVU74" s="800"/>
      <c r="KVV74" s="800"/>
      <c r="KVW74" s="705"/>
      <c r="KVX74" s="799"/>
      <c r="KVY74" s="800"/>
      <c r="KVZ74" s="800"/>
      <c r="KWA74" s="800"/>
      <c r="KWB74" s="800"/>
      <c r="KWC74" s="800"/>
      <c r="KWD74" s="705"/>
      <c r="KWE74" s="799"/>
      <c r="KWF74" s="800"/>
      <c r="KWG74" s="800"/>
      <c r="KWH74" s="800"/>
      <c r="KWI74" s="800"/>
      <c r="KWJ74" s="800"/>
      <c r="KWK74" s="705"/>
      <c r="KWL74" s="799"/>
      <c r="KWM74" s="800"/>
      <c r="KWN74" s="800"/>
      <c r="KWO74" s="800"/>
      <c r="KWP74" s="800"/>
      <c r="KWQ74" s="800"/>
      <c r="KWR74" s="705"/>
      <c r="KWS74" s="799"/>
      <c r="KWT74" s="800"/>
      <c r="KWU74" s="800"/>
      <c r="KWV74" s="800"/>
      <c r="KWW74" s="800"/>
      <c r="KWX74" s="800"/>
      <c r="KWY74" s="705"/>
      <c r="KWZ74" s="799"/>
      <c r="KXA74" s="800"/>
      <c r="KXB74" s="800"/>
      <c r="KXC74" s="800"/>
      <c r="KXD74" s="800"/>
      <c r="KXE74" s="800"/>
      <c r="KXF74" s="705"/>
      <c r="KXG74" s="799"/>
      <c r="KXH74" s="800"/>
      <c r="KXI74" s="800"/>
      <c r="KXJ74" s="800"/>
      <c r="KXK74" s="800"/>
      <c r="KXL74" s="800"/>
      <c r="KXM74" s="705"/>
      <c r="KXN74" s="799"/>
      <c r="KXO74" s="800"/>
      <c r="KXP74" s="800"/>
      <c r="KXQ74" s="800"/>
      <c r="KXR74" s="800"/>
      <c r="KXS74" s="800"/>
      <c r="KXT74" s="705"/>
      <c r="KXU74" s="799"/>
      <c r="KXV74" s="800"/>
      <c r="KXW74" s="800"/>
      <c r="KXX74" s="800"/>
      <c r="KXY74" s="800"/>
      <c r="KXZ74" s="800"/>
      <c r="KYA74" s="705"/>
      <c r="KYB74" s="799"/>
      <c r="KYC74" s="800"/>
      <c r="KYD74" s="800"/>
      <c r="KYE74" s="800"/>
      <c r="KYF74" s="800"/>
      <c r="KYG74" s="800"/>
      <c r="KYH74" s="705"/>
      <c r="KYI74" s="799"/>
      <c r="KYJ74" s="800"/>
      <c r="KYK74" s="800"/>
      <c r="KYL74" s="800"/>
      <c r="KYM74" s="800"/>
      <c r="KYN74" s="800"/>
      <c r="KYO74" s="705"/>
      <c r="KYP74" s="799"/>
      <c r="KYQ74" s="800"/>
      <c r="KYR74" s="800"/>
      <c r="KYS74" s="800"/>
      <c r="KYT74" s="800"/>
      <c r="KYU74" s="800"/>
      <c r="KYV74" s="705"/>
      <c r="KYW74" s="799"/>
      <c r="KYX74" s="800"/>
      <c r="KYY74" s="800"/>
      <c r="KYZ74" s="800"/>
      <c r="KZA74" s="800"/>
      <c r="KZB74" s="800"/>
      <c r="KZC74" s="705"/>
      <c r="KZD74" s="799"/>
      <c r="KZE74" s="800"/>
      <c r="KZF74" s="800"/>
      <c r="KZG74" s="800"/>
      <c r="KZH74" s="800"/>
      <c r="KZI74" s="800"/>
      <c r="KZJ74" s="705"/>
      <c r="KZK74" s="799"/>
      <c r="KZL74" s="800"/>
      <c r="KZM74" s="800"/>
      <c r="KZN74" s="800"/>
      <c r="KZO74" s="800"/>
      <c r="KZP74" s="800"/>
      <c r="KZQ74" s="705"/>
      <c r="KZR74" s="799"/>
      <c r="KZS74" s="800"/>
      <c r="KZT74" s="800"/>
      <c r="KZU74" s="800"/>
      <c r="KZV74" s="800"/>
      <c r="KZW74" s="800"/>
      <c r="KZX74" s="705"/>
      <c r="KZY74" s="799"/>
      <c r="KZZ74" s="800"/>
      <c r="LAA74" s="800"/>
      <c r="LAB74" s="800"/>
      <c r="LAC74" s="800"/>
      <c r="LAD74" s="800"/>
      <c r="LAE74" s="705"/>
      <c r="LAF74" s="799"/>
      <c r="LAG74" s="800"/>
      <c r="LAH74" s="800"/>
      <c r="LAI74" s="800"/>
      <c r="LAJ74" s="800"/>
      <c r="LAK74" s="800"/>
      <c r="LAL74" s="705"/>
      <c r="LAM74" s="799"/>
      <c r="LAN74" s="800"/>
      <c r="LAO74" s="800"/>
      <c r="LAP74" s="800"/>
      <c r="LAQ74" s="800"/>
      <c r="LAR74" s="800"/>
      <c r="LAS74" s="705"/>
      <c r="LAT74" s="799"/>
      <c r="LAU74" s="800"/>
      <c r="LAV74" s="800"/>
      <c r="LAW74" s="800"/>
      <c r="LAX74" s="800"/>
      <c r="LAY74" s="800"/>
      <c r="LAZ74" s="705"/>
      <c r="LBA74" s="799"/>
      <c r="LBB74" s="800"/>
      <c r="LBC74" s="800"/>
      <c r="LBD74" s="800"/>
      <c r="LBE74" s="800"/>
      <c r="LBF74" s="800"/>
      <c r="LBG74" s="705"/>
      <c r="LBH74" s="799"/>
      <c r="LBI74" s="800"/>
      <c r="LBJ74" s="800"/>
      <c r="LBK74" s="800"/>
      <c r="LBL74" s="800"/>
      <c r="LBM74" s="800"/>
      <c r="LBN74" s="705"/>
      <c r="LBO74" s="799"/>
      <c r="LBP74" s="800"/>
      <c r="LBQ74" s="800"/>
      <c r="LBR74" s="800"/>
      <c r="LBS74" s="800"/>
      <c r="LBT74" s="800"/>
      <c r="LBU74" s="705"/>
      <c r="LBV74" s="799"/>
      <c r="LBW74" s="800"/>
      <c r="LBX74" s="800"/>
      <c r="LBY74" s="800"/>
      <c r="LBZ74" s="800"/>
      <c r="LCA74" s="800"/>
      <c r="LCB74" s="705"/>
      <c r="LCC74" s="799"/>
      <c r="LCD74" s="800"/>
      <c r="LCE74" s="800"/>
      <c r="LCF74" s="800"/>
      <c r="LCG74" s="800"/>
      <c r="LCH74" s="800"/>
      <c r="LCI74" s="705"/>
      <c r="LCJ74" s="799"/>
      <c r="LCK74" s="800"/>
      <c r="LCL74" s="800"/>
      <c r="LCM74" s="800"/>
      <c r="LCN74" s="800"/>
      <c r="LCO74" s="800"/>
      <c r="LCP74" s="705"/>
      <c r="LCQ74" s="799"/>
      <c r="LCR74" s="800"/>
      <c r="LCS74" s="800"/>
      <c r="LCT74" s="800"/>
      <c r="LCU74" s="800"/>
      <c r="LCV74" s="800"/>
      <c r="LCW74" s="705"/>
      <c r="LCX74" s="799"/>
      <c r="LCY74" s="800"/>
      <c r="LCZ74" s="800"/>
      <c r="LDA74" s="800"/>
      <c r="LDB74" s="800"/>
      <c r="LDC74" s="800"/>
      <c r="LDD74" s="705"/>
      <c r="LDE74" s="799"/>
      <c r="LDF74" s="800"/>
      <c r="LDG74" s="800"/>
      <c r="LDH74" s="800"/>
      <c r="LDI74" s="800"/>
      <c r="LDJ74" s="800"/>
      <c r="LDK74" s="705"/>
      <c r="LDL74" s="799"/>
      <c r="LDM74" s="800"/>
      <c r="LDN74" s="800"/>
      <c r="LDO74" s="800"/>
      <c r="LDP74" s="800"/>
      <c r="LDQ74" s="800"/>
      <c r="LDR74" s="705"/>
      <c r="LDS74" s="799"/>
      <c r="LDT74" s="800"/>
      <c r="LDU74" s="800"/>
      <c r="LDV74" s="800"/>
      <c r="LDW74" s="800"/>
      <c r="LDX74" s="800"/>
      <c r="LDY74" s="705"/>
      <c r="LDZ74" s="799"/>
      <c r="LEA74" s="800"/>
      <c r="LEB74" s="800"/>
      <c r="LEC74" s="800"/>
      <c r="LED74" s="800"/>
      <c r="LEE74" s="800"/>
      <c r="LEF74" s="705"/>
      <c r="LEG74" s="799"/>
      <c r="LEH74" s="800"/>
      <c r="LEI74" s="800"/>
      <c r="LEJ74" s="800"/>
      <c r="LEK74" s="800"/>
      <c r="LEL74" s="800"/>
      <c r="LEM74" s="705"/>
      <c r="LEN74" s="799"/>
      <c r="LEO74" s="800"/>
      <c r="LEP74" s="800"/>
      <c r="LEQ74" s="800"/>
      <c r="LER74" s="800"/>
      <c r="LES74" s="800"/>
      <c r="LET74" s="705"/>
      <c r="LEU74" s="799"/>
      <c r="LEV74" s="800"/>
      <c r="LEW74" s="800"/>
      <c r="LEX74" s="800"/>
      <c r="LEY74" s="800"/>
      <c r="LEZ74" s="800"/>
      <c r="LFA74" s="705"/>
      <c r="LFB74" s="799"/>
      <c r="LFC74" s="800"/>
      <c r="LFD74" s="800"/>
      <c r="LFE74" s="800"/>
      <c r="LFF74" s="800"/>
      <c r="LFG74" s="800"/>
      <c r="LFH74" s="705"/>
      <c r="LFI74" s="799"/>
      <c r="LFJ74" s="800"/>
      <c r="LFK74" s="800"/>
      <c r="LFL74" s="800"/>
      <c r="LFM74" s="800"/>
      <c r="LFN74" s="800"/>
      <c r="LFO74" s="705"/>
      <c r="LFP74" s="799"/>
      <c r="LFQ74" s="800"/>
      <c r="LFR74" s="800"/>
      <c r="LFS74" s="800"/>
      <c r="LFT74" s="800"/>
      <c r="LFU74" s="800"/>
      <c r="LFV74" s="705"/>
      <c r="LFW74" s="799"/>
      <c r="LFX74" s="800"/>
      <c r="LFY74" s="800"/>
      <c r="LFZ74" s="800"/>
      <c r="LGA74" s="800"/>
      <c r="LGB74" s="800"/>
      <c r="LGC74" s="705"/>
      <c r="LGD74" s="799"/>
      <c r="LGE74" s="800"/>
      <c r="LGF74" s="800"/>
      <c r="LGG74" s="800"/>
      <c r="LGH74" s="800"/>
      <c r="LGI74" s="800"/>
      <c r="LGJ74" s="705"/>
      <c r="LGK74" s="799"/>
      <c r="LGL74" s="800"/>
      <c r="LGM74" s="800"/>
      <c r="LGN74" s="800"/>
      <c r="LGO74" s="800"/>
      <c r="LGP74" s="800"/>
      <c r="LGQ74" s="705"/>
      <c r="LGR74" s="799"/>
      <c r="LGS74" s="800"/>
      <c r="LGT74" s="800"/>
      <c r="LGU74" s="800"/>
      <c r="LGV74" s="800"/>
      <c r="LGW74" s="800"/>
      <c r="LGX74" s="705"/>
      <c r="LGY74" s="799"/>
      <c r="LGZ74" s="800"/>
      <c r="LHA74" s="800"/>
      <c r="LHB74" s="800"/>
      <c r="LHC74" s="800"/>
      <c r="LHD74" s="800"/>
      <c r="LHE74" s="705"/>
      <c r="LHF74" s="799"/>
      <c r="LHG74" s="800"/>
      <c r="LHH74" s="800"/>
      <c r="LHI74" s="800"/>
      <c r="LHJ74" s="800"/>
      <c r="LHK74" s="800"/>
      <c r="LHL74" s="705"/>
      <c r="LHM74" s="799"/>
      <c r="LHN74" s="800"/>
      <c r="LHO74" s="800"/>
      <c r="LHP74" s="800"/>
      <c r="LHQ74" s="800"/>
      <c r="LHR74" s="800"/>
      <c r="LHS74" s="705"/>
      <c r="LHT74" s="799"/>
      <c r="LHU74" s="800"/>
      <c r="LHV74" s="800"/>
      <c r="LHW74" s="800"/>
      <c r="LHX74" s="800"/>
      <c r="LHY74" s="800"/>
      <c r="LHZ74" s="705"/>
      <c r="LIA74" s="799"/>
      <c r="LIB74" s="800"/>
      <c r="LIC74" s="800"/>
      <c r="LID74" s="800"/>
      <c r="LIE74" s="800"/>
      <c r="LIF74" s="800"/>
      <c r="LIG74" s="705"/>
      <c r="LIH74" s="799"/>
      <c r="LII74" s="800"/>
      <c r="LIJ74" s="800"/>
      <c r="LIK74" s="800"/>
      <c r="LIL74" s="800"/>
      <c r="LIM74" s="800"/>
      <c r="LIN74" s="705"/>
      <c r="LIO74" s="799"/>
      <c r="LIP74" s="800"/>
      <c r="LIQ74" s="800"/>
      <c r="LIR74" s="800"/>
      <c r="LIS74" s="800"/>
      <c r="LIT74" s="800"/>
      <c r="LIU74" s="705"/>
      <c r="LIV74" s="799"/>
      <c r="LIW74" s="800"/>
      <c r="LIX74" s="800"/>
      <c r="LIY74" s="800"/>
      <c r="LIZ74" s="800"/>
      <c r="LJA74" s="800"/>
      <c r="LJB74" s="705"/>
      <c r="LJC74" s="799"/>
      <c r="LJD74" s="800"/>
      <c r="LJE74" s="800"/>
      <c r="LJF74" s="800"/>
      <c r="LJG74" s="800"/>
      <c r="LJH74" s="800"/>
      <c r="LJI74" s="705"/>
      <c r="LJJ74" s="799"/>
      <c r="LJK74" s="800"/>
      <c r="LJL74" s="800"/>
      <c r="LJM74" s="800"/>
      <c r="LJN74" s="800"/>
      <c r="LJO74" s="800"/>
      <c r="LJP74" s="705"/>
      <c r="LJQ74" s="799"/>
      <c r="LJR74" s="800"/>
      <c r="LJS74" s="800"/>
      <c r="LJT74" s="800"/>
      <c r="LJU74" s="800"/>
      <c r="LJV74" s="800"/>
      <c r="LJW74" s="705"/>
      <c r="LJX74" s="799"/>
      <c r="LJY74" s="800"/>
      <c r="LJZ74" s="800"/>
      <c r="LKA74" s="800"/>
      <c r="LKB74" s="800"/>
      <c r="LKC74" s="800"/>
      <c r="LKD74" s="705"/>
      <c r="LKE74" s="799"/>
      <c r="LKF74" s="800"/>
      <c r="LKG74" s="800"/>
      <c r="LKH74" s="800"/>
      <c r="LKI74" s="800"/>
      <c r="LKJ74" s="800"/>
      <c r="LKK74" s="705"/>
      <c r="LKL74" s="799"/>
      <c r="LKM74" s="800"/>
      <c r="LKN74" s="800"/>
      <c r="LKO74" s="800"/>
      <c r="LKP74" s="800"/>
      <c r="LKQ74" s="800"/>
      <c r="LKR74" s="705"/>
      <c r="LKS74" s="799"/>
      <c r="LKT74" s="800"/>
      <c r="LKU74" s="800"/>
      <c r="LKV74" s="800"/>
      <c r="LKW74" s="800"/>
      <c r="LKX74" s="800"/>
      <c r="LKY74" s="705"/>
      <c r="LKZ74" s="799"/>
      <c r="LLA74" s="800"/>
      <c r="LLB74" s="800"/>
      <c r="LLC74" s="800"/>
      <c r="LLD74" s="800"/>
      <c r="LLE74" s="800"/>
      <c r="LLF74" s="705"/>
      <c r="LLG74" s="799"/>
      <c r="LLH74" s="800"/>
      <c r="LLI74" s="800"/>
      <c r="LLJ74" s="800"/>
      <c r="LLK74" s="800"/>
      <c r="LLL74" s="800"/>
      <c r="LLM74" s="705"/>
      <c r="LLN74" s="799"/>
      <c r="LLO74" s="800"/>
      <c r="LLP74" s="800"/>
      <c r="LLQ74" s="800"/>
      <c r="LLR74" s="800"/>
      <c r="LLS74" s="800"/>
      <c r="LLT74" s="705"/>
      <c r="LLU74" s="799"/>
      <c r="LLV74" s="800"/>
      <c r="LLW74" s="800"/>
      <c r="LLX74" s="800"/>
      <c r="LLY74" s="800"/>
      <c r="LLZ74" s="800"/>
      <c r="LMA74" s="705"/>
      <c r="LMB74" s="799"/>
      <c r="LMC74" s="800"/>
      <c r="LMD74" s="800"/>
      <c r="LME74" s="800"/>
      <c r="LMF74" s="800"/>
      <c r="LMG74" s="800"/>
      <c r="LMH74" s="705"/>
      <c r="LMI74" s="799"/>
      <c r="LMJ74" s="800"/>
      <c r="LMK74" s="800"/>
      <c r="LML74" s="800"/>
      <c r="LMM74" s="800"/>
      <c r="LMN74" s="800"/>
      <c r="LMO74" s="705"/>
      <c r="LMP74" s="799"/>
      <c r="LMQ74" s="800"/>
      <c r="LMR74" s="800"/>
      <c r="LMS74" s="800"/>
      <c r="LMT74" s="800"/>
      <c r="LMU74" s="800"/>
      <c r="LMV74" s="705"/>
      <c r="LMW74" s="799"/>
      <c r="LMX74" s="800"/>
      <c r="LMY74" s="800"/>
      <c r="LMZ74" s="800"/>
      <c r="LNA74" s="800"/>
      <c r="LNB74" s="800"/>
      <c r="LNC74" s="705"/>
      <c r="LND74" s="799"/>
      <c r="LNE74" s="800"/>
      <c r="LNF74" s="800"/>
      <c r="LNG74" s="800"/>
      <c r="LNH74" s="800"/>
      <c r="LNI74" s="800"/>
      <c r="LNJ74" s="705"/>
      <c r="LNK74" s="799"/>
      <c r="LNL74" s="800"/>
      <c r="LNM74" s="800"/>
      <c r="LNN74" s="800"/>
      <c r="LNO74" s="800"/>
      <c r="LNP74" s="800"/>
      <c r="LNQ74" s="705"/>
      <c r="LNR74" s="799"/>
      <c r="LNS74" s="800"/>
      <c r="LNT74" s="800"/>
      <c r="LNU74" s="800"/>
      <c r="LNV74" s="800"/>
      <c r="LNW74" s="800"/>
      <c r="LNX74" s="705"/>
      <c r="LNY74" s="799"/>
      <c r="LNZ74" s="800"/>
      <c r="LOA74" s="800"/>
      <c r="LOB74" s="800"/>
      <c r="LOC74" s="800"/>
      <c r="LOD74" s="800"/>
      <c r="LOE74" s="705"/>
      <c r="LOF74" s="799"/>
      <c r="LOG74" s="800"/>
      <c r="LOH74" s="800"/>
      <c r="LOI74" s="800"/>
      <c r="LOJ74" s="800"/>
      <c r="LOK74" s="800"/>
      <c r="LOL74" s="705"/>
      <c r="LOM74" s="799"/>
      <c r="LON74" s="800"/>
      <c r="LOO74" s="800"/>
      <c r="LOP74" s="800"/>
      <c r="LOQ74" s="800"/>
      <c r="LOR74" s="800"/>
      <c r="LOS74" s="705"/>
      <c r="LOT74" s="799"/>
      <c r="LOU74" s="800"/>
      <c r="LOV74" s="800"/>
      <c r="LOW74" s="800"/>
      <c r="LOX74" s="800"/>
      <c r="LOY74" s="800"/>
      <c r="LOZ74" s="705"/>
      <c r="LPA74" s="799"/>
      <c r="LPB74" s="800"/>
      <c r="LPC74" s="800"/>
      <c r="LPD74" s="800"/>
      <c r="LPE74" s="800"/>
      <c r="LPF74" s="800"/>
      <c r="LPG74" s="705"/>
      <c r="LPH74" s="799"/>
      <c r="LPI74" s="800"/>
      <c r="LPJ74" s="800"/>
      <c r="LPK74" s="800"/>
      <c r="LPL74" s="800"/>
      <c r="LPM74" s="800"/>
      <c r="LPN74" s="705"/>
      <c r="LPO74" s="799"/>
      <c r="LPP74" s="800"/>
      <c r="LPQ74" s="800"/>
      <c r="LPR74" s="800"/>
      <c r="LPS74" s="800"/>
      <c r="LPT74" s="800"/>
      <c r="LPU74" s="705"/>
      <c r="LPV74" s="799"/>
      <c r="LPW74" s="800"/>
      <c r="LPX74" s="800"/>
      <c r="LPY74" s="800"/>
      <c r="LPZ74" s="800"/>
      <c r="LQA74" s="800"/>
      <c r="LQB74" s="705"/>
      <c r="LQC74" s="799"/>
      <c r="LQD74" s="800"/>
      <c r="LQE74" s="800"/>
      <c r="LQF74" s="800"/>
      <c r="LQG74" s="800"/>
      <c r="LQH74" s="800"/>
      <c r="LQI74" s="705"/>
      <c r="LQJ74" s="799"/>
      <c r="LQK74" s="800"/>
      <c r="LQL74" s="800"/>
      <c r="LQM74" s="800"/>
      <c r="LQN74" s="800"/>
      <c r="LQO74" s="800"/>
      <c r="LQP74" s="705"/>
      <c r="LQQ74" s="799"/>
      <c r="LQR74" s="800"/>
      <c r="LQS74" s="800"/>
      <c r="LQT74" s="800"/>
      <c r="LQU74" s="800"/>
      <c r="LQV74" s="800"/>
      <c r="LQW74" s="705"/>
      <c r="LQX74" s="799"/>
      <c r="LQY74" s="800"/>
      <c r="LQZ74" s="800"/>
      <c r="LRA74" s="800"/>
      <c r="LRB74" s="800"/>
      <c r="LRC74" s="800"/>
      <c r="LRD74" s="705"/>
      <c r="LRE74" s="799"/>
      <c r="LRF74" s="800"/>
      <c r="LRG74" s="800"/>
      <c r="LRH74" s="800"/>
      <c r="LRI74" s="800"/>
      <c r="LRJ74" s="800"/>
      <c r="LRK74" s="705"/>
      <c r="LRL74" s="799"/>
      <c r="LRM74" s="800"/>
      <c r="LRN74" s="800"/>
      <c r="LRO74" s="800"/>
      <c r="LRP74" s="800"/>
      <c r="LRQ74" s="800"/>
      <c r="LRR74" s="705"/>
      <c r="LRS74" s="799"/>
      <c r="LRT74" s="800"/>
      <c r="LRU74" s="800"/>
      <c r="LRV74" s="800"/>
      <c r="LRW74" s="800"/>
      <c r="LRX74" s="800"/>
      <c r="LRY74" s="705"/>
      <c r="LRZ74" s="799"/>
      <c r="LSA74" s="800"/>
      <c r="LSB74" s="800"/>
      <c r="LSC74" s="800"/>
      <c r="LSD74" s="800"/>
      <c r="LSE74" s="800"/>
      <c r="LSF74" s="705"/>
      <c r="LSG74" s="799"/>
      <c r="LSH74" s="800"/>
      <c r="LSI74" s="800"/>
      <c r="LSJ74" s="800"/>
      <c r="LSK74" s="800"/>
      <c r="LSL74" s="800"/>
      <c r="LSM74" s="705"/>
      <c r="LSN74" s="799"/>
      <c r="LSO74" s="800"/>
      <c r="LSP74" s="800"/>
      <c r="LSQ74" s="800"/>
      <c r="LSR74" s="800"/>
      <c r="LSS74" s="800"/>
      <c r="LST74" s="705"/>
      <c r="LSU74" s="799"/>
      <c r="LSV74" s="800"/>
      <c r="LSW74" s="800"/>
      <c r="LSX74" s="800"/>
      <c r="LSY74" s="800"/>
      <c r="LSZ74" s="800"/>
      <c r="LTA74" s="705"/>
      <c r="LTB74" s="799"/>
      <c r="LTC74" s="800"/>
      <c r="LTD74" s="800"/>
      <c r="LTE74" s="800"/>
      <c r="LTF74" s="800"/>
      <c r="LTG74" s="800"/>
      <c r="LTH74" s="705"/>
      <c r="LTI74" s="799"/>
      <c r="LTJ74" s="800"/>
      <c r="LTK74" s="800"/>
      <c r="LTL74" s="800"/>
      <c r="LTM74" s="800"/>
      <c r="LTN74" s="800"/>
      <c r="LTO74" s="705"/>
      <c r="LTP74" s="799"/>
      <c r="LTQ74" s="800"/>
      <c r="LTR74" s="800"/>
      <c r="LTS74" s="800"/>
      <c r="LTT74" s="800"/>
      <c r="LTU74" s="800"/>
      <c r="LTV74" s="705"/>
      <c r="LTW74" s="799"/>
      <c r="LTX74" s="800"/>
      <c r="LTY74" s="800"/>
      <c r="LTZ74" s="800"/>
      <c r="LUA74" s="800"/>
      <c r="LUB74" s="800"/>
      <c r="LUC74" s="705"/>
      <c r="LUD74" s="799"/>
      <c r="LUE74" s="800"/>
      <c r="LUF74" s="800"/>
      <c r="LUG74" s="800"/>
      <c r="LUH74" s="800"/>
      <c r="LUI74" s="800"/>
      <c r="LUJ74" s="705"/>
      <c r="LUK74" s="799"/>
      <c r="LUL74" s="800"/>
      <c r="LUM74" s="800"/>
      <c r="LUN74" s="800"/>
      <c r="LUO74" s="800"/>
      <c r="LUP74" s="800"/>
      <c r="LUQ74" s="705"/>
      <c r="LUR74" s="799"/>
      <c r="LUS74" s="800"/>
      <c r="LUT74" s="800"/>
      <c r="LUU74" s="800"/>
      <c r="LUV74" s="800"/>
      <c r="LUW74" s="800"/>
      <c r="LUX74" s="705"/>
      <c r="LUY74" s="799"/>
      <c r="LUZ74" s="800"/>
      <c r="LVA74" s="800"/>
      <c r="LVB74" s="800"/>
      <c r="LVC74" s="800"/>
      <c r="LVD74" s="800"/>
      <c r="LVE74" s="705"/>
      <c r="LVF74" s="799"/>
      <c r="LVG74" s="800"/>
      <c r="LVH74" s="800"/>
      <c r="LVI74" s="800"/>
      <c r="LVJ74" s="800"/>
      <c r="LVK74" s="800"/>
      <c r="LVL74" s="705"/>
      <c r="LVM74" s="799"/>
      <c r="LVN74" s="800"/>
      <c r="LVO74" s="800"/>
      <c r="LVP74" s="800"/>
      <c r="LVQ74" s="800"/>
      <c r="LVR74" s="800"/>
      <c r="LVS74" s="705"/>
      <c r="LVT74" s="799"/>
      <c r="LVU74" s="800"/>
      <c r="LVV74" s="800"/>
      <c r="LVW74" s="800"/>
      <c r="LVX74" s="800"/>
      <c r="LVY74" s="800"/>
      <c r="LVZ74" s="705"/>
      <c r="LWA74" s="799"/>
      <c r="LWB74" s="800"/>
      <c r="LWC74" s="800"/>
      <c r="LWD74" s="800"/>
      <c r="LWE74" s="800"/>
      <c r="LWF74" s="800"/>
      <c r="LWG74" s="705"/>
      <c r="LWH74" s="799"/>
      <c r="LWI74" s="800"/>
      <c r="LWJ74" s="800"/>
      <c r="LWK74" s="800"/>
      <c r="LWL74" s="800"/>
      <c r="LWM74" s="800"/>
      <c r="LWN74" s="705"/>
      <c r="LWO74" s="799"/>
      <c r="LWP74" s="800"/>
      <c r="LWQ74" s="800"/>
      <c r="LWR74" s="800"/>
      <c r="LWS74" s="800"/>
      <c r="LWT74" s="800"/>
      <c r="LWU74" s="705"/>
      <c r="LWV74" s="799"/>
      <c r="LWW74" s="800"/>
      <c r="LWX74" s="800"/>
      <c r="LWY74" s="800"/>
      <c r="LWZ74" s="800"/>
      <c r="LXA74" s="800"/>
      <c r="LXB74" s="705"/>
      <c r="LXC74" s="799"/>
      <c r="LXD74" s="800"/>
      <c r="LXE74" s="800"/>
      <c r="LXF74" s="800"/>
      <c r="LXG74" s="800"/>
      <c r="LXH74" s="800"/>
      <c r="LXI74" s="705"/>
      <c r="LXJ74" s="799"/>
      <c r="LXK74" s="800"/>
      <c r="LXL74" s="800"/>
      <c r="LXM74" s="800"/>
      <c r="LXN74" s="800"/>
      <c r="LXO74" s="800"/>
      <c r="LXP74" s="705"/>
      <c r="LXQ74" s="799"/>
      <c r="LXR74" s="800"/>
      <c r="LXS74" s="800"/>
      <c r="LXT74" s="800"/>
      <c r="LXU74" s="800"/>
      <c r="LXV74" s="800"/>
      <c r="LXW74" s="705"/>
      <c r="LXX74" s="799"/>
      <c r="LXY74" s="800"/>
      <c r="LXZ74" s="800"/>
      <c r="LYA74" s="800"/>
      <c r="LYB74" s="800"/>
      <c r="LYC74" s="800"/>
      <c r="LYD74" s="705"/>
      <c r="LYE74" s="799"/>
      <c r="LYF74" s="800"/>
      <c r="LYG74" s="800"/>
      <c r="LYH74" s="800"/>
      <c r="LYI74" s="800"/>
      <c r="LYJ74" s="800"/>
      <c r="LYK74" s="705"/>
      <c r="LYL74" s="799"/>
      <c r="LYM74" s="800"/>
      <c r="LYN74" s="800"/>
      <c r="LYO74" s="800"/>
      <c r="LYP74" s="800"/>
      <c r="LYQ74" s="800"/>
      <c r="LYR74" s="705"/>
      <c r="LYS74" s="799"/>
      <c r="LYT74" s="800"/>
      <c r="LYU74" s="800"/>
      <c r="LYV74" s="800"/>
      <c r="LYW74" s="800"/>
      <c r="LYX74" s="800"/>
      <c r="LYY74" s="705"/>
      <c r="LYZ74" s="799"/>
      <c r="LZA74" s="800"/>
      <c r="LZB74" s="800"/>
      <c r="LZC74" s="800"/>
      <c r="LZD74" s="800"/>
      <c r="LZE74" s="800"/>
      <c r="LZF74" s="705"/>
      <c r="LZG74" s="799"/>
      <c r="LZH74" s="800"/>
      <c r="LZI74" s="800"/>
      <c r="LZJ74" s="800"/>
      <c r="LZK74" s="800"/>
      <c r="LZL74" s="800"/>
      <c r="LZM74" s="705"/>
      <c r="LZN74" s="799"/>
      <c r="LZO74" s="800"/>
      <c r="LZP74" s="800"/>
      <c r="LZQ74" s="800"/>
      <c r="LZR74" s="800"/>
      <c r="LZS74" s="800"/>
      <c r="LZT74" s="705"/>
      <c r="LZU74" s="799"/>
      <c r="LZV74" s="800"/>
      <c r="LZW74" s="800"/>
      <c r="LZX74" s="800"/>
      <c r="LZY74" s="800"/>
      <c r="LZZ74" s="800"/>
      <c r="MAA74" s="705"/>
      <c r="MAB74" s="799"/>
      <c r="MAC74" s="800"/>
      <c r="MAD74" s="800"/>
      <c r="MAE74" s="800"/>
      <c r="MAF74" s="800"/>
      <c r="MAG74" s="800"/>
      <c r="MAH74" s="705"/>
      <c r="MAI74" s="799"/>
      <c r="MAJ74" s="800"/>
      <c r="MAK74" s="800"/>
      <c r="MAL74" s="800"/>
      <c r="MAM74" s="800"/>
      <c r="MAN74" s="800"/>
      <c r="MAO74" s="705"/>
      <c r="MAP74" s="799"/>
      <c r="MAQ74" s="800"/>
      <c r="MAR74" s="800"/>
      <c r="MAS74" s="800"/>
      <c r="MAT74" s="800"/>
      <c r="MAU74" s="800"/>
      <c r="MAV74" s="705"/>
      <c r="MAW74" s="799"/>
      <c r="MAX74" s="800"/>
      <c r="MAY74" s="800"/>
      <c r="MAZ74" s="800"/>
      <c r="MBA74" s="800"/>
      <c r="MBB74" s="800"/>
      <c r="MBC74" s="705"/>
      <c r="MBD74" s="799"/>
      <c r="MBE74" s="800"/>
      <c r="MBF74" s="800"/>
      <c r="MBG74" s="800"/>
      <c r="MBH74" s="800"/>
      <c r="MBI74" s="800"/>
      <c r="MBJ74" s="705"/>
      <c r="MBK74" s="799"/>
      <c r="MBL74" s="800"/>
      <c r="MBM74" s="800"/>
      <c r="MBN74" s="800"/>
      <c r="MBO74" s="800"/>
      <c r="MBP74" s="800"/>
      <c r="MBQ74" s="705"/>
      <c r="MBR74" s="799"/>
      <c r="MBS74" s="800"/>
      <c r="MBT74" s="800"/>
      <c r="MBU74" s="800"/>
      <c r="MBV74" s="800"/>
      <c r="MBW74" s="800"/>
      <c r="MBX74" s="705"/>
      <c r="MBY74" s="799"/>
      <c r="MBZ74" s="800"/>
      <c r="MCA74" s="800"/>
      <c r="MCB74" s="800"/>
      <c r="MCC74" s="800"/>
      <c r="MCD74" s="800"/>
      <c r="MCE74" s="705"/>
      <c r="MCF74" s="799"/>
      <c r="MCG74" s="800"/>
      <c r="MCH74" s="800"/>
      <c r="MCI74" s="800"/>
      <c r="MCJ74" s="800"/>
      <c r="MCK74" s="800"/>
      <c r="MCL74" s="705"/>
      <c r="MCM74" s="799"/>
      <c r="MCN74" s="800"/>
      <c r="MCO74" s="800"/>
      <c r="MCP74" s="800"/>
      <c r="MCQ74" s="800"/>
      <c r="MCR74" s="800"/>
      <c r="MCS74" s="705"/>
      <c r="MCT74" s="799"/>
      <c r="MCU74" s="800"/>
      <c r="MCV74" s="800"/>
      <c r="MCW74" s="800"/>
      <c r="MCX74" s="800"/>
      <c r="MCY74" s="800"/>
      <c r="MCZ74" s="705"/>
      <c r="MDA74" s="799"/>
      <c r="MDB74" s="800"/>
      <c r="MDC74" s="800"/>
      <c r="MDD74" s="800"/>
      <c r="MDE74" s="800"/>
      <c r="MDF74" s="800"/>
      <c r="MDG74" s="705"/>
      <c r="MDH74" s="799"/>
      <c r="MDI74" s="800"/>
      <c r="MDJ74" s="800"/>
      <c r="MDK74" s="800"/>
      <c r="MDL74" s="800"/>
      <c r="MDM74" s="800"/>
      <c r="MDN74" s="705"/>
      <c r="MDO74" s="799"/>
      <c r="MDP74" s="800"/>
      <c r="MDQ74" s="800"/>
      <c r="MDR74" s="800"/>
      <c r="MDS74" s="800"/>
      <c r="MDT74" s="800"/>
      <c r="MDU74" s="705"/>
      <c r="MDV74" s="799"/>
      <c r="MDW74" s="800"/>
      <c r="MDX74" s="800"/>
      <c r="MDY74" s="800"/>
      <c r="MDZ74" s="800"/>
      <c r="MEA74" s="800"/>
      <c r="MEB74" s="705"/>
      <c r="MEC74" s="799"/>
      <c r="MED74" s="800"/>
      <c r="MEE74" s="800"/>
      <c r="MEF74" s="800"/>
      <c r="MEG74" s="800"/>
      <c r="MEH74" s="800"/>
      <c r="MEI74" s="705"/>
      <c r="MEJ74" s="799"/>
      <c r="MEK74" s="800"/>
      <c r="MEL74" s="800"/>
      <c r="MEM74" s="800"/>
      <c r="MEN74" s="800"/>
      <c r="MEO74" s="800"/>
      <c r="MEP74" s="705"/>
      <c r="MEQ74" s="799"/>
      <c r="MER74" s="800"/>
      <c r="MES74" s="800"/>
      <c r="MET74" s="800"/>
      <c r="MEU74" s="800"/>
      <c r="MEV74" s="800"/>
      <c r="MEW74" s="705"/>
      <c r="MEX74" s="799"/>
      <c r="MEY74" s="800"/>
      <c r="MEZ74" s="800"/>
      <c r="MFA74" s="800"/>
      <c r="MFB74" s="800"/>
      <c r="MFC74" s="800"/>
      <c r="MFD74" s="705"/>
      <c r="MFE74" s="799"/>
      <c r="MFF74" s="800"/>
      <c r="MFG74" s="800"/>
      <c r="MFH74" s="800"/>
      <c r="MFI74" s="800"/>
      <c r="MFJ74" s="800"/>
      <c r="MFK74" s="705"/>
      <c r="MFL74" s="799"/>
      <c r="MFM74" s="800"/>
      <c r="MFN74" s="800"/>
      <c r="MFO74" s="800"/>
      <c r="MFP74" s="800"/>
      <c r="MFQ74" s="800"/>
      <c r="MFR74" s="705"/>
      <c r="MFS74" s="799"/>
      <c r="MFT74" s="800"/>
      <c r="MFU74" s="800"/>
      <c r="MFV74" s="800"/>
      <c r="MFW74" s="800"/>
      <c r="MFX74" s="800"/>
      <c r="MFY74" s="705"/>
      <c r="MFZ74" s="799"/>
      <c r="MGA74" s="800"/>
      <c r="MGB74" s="800"/>
      <c r="MGC74" s="800"/>
      <c r="MGD74" s="800"/>
      <c r="MGE74" s="800"/>
      <c r="MGF74" s="705"/>
      <c r="MGG74" s="799"/>
      <c r="MGH74" s="800"/>
      <c r="MGI74" s="800"/>
      <c r="MGJ74" s="800"/>
      <c r="MGK74" s="800"/>
      <c r="MGL74" s="800"/>
      <c r="MGM74" s="705"/>
      <c r="MGN74" s="799"/>
      <c r="MGO74" s="800"/>
      <c r="MGP74" s="800"/>
      <c r="MGQ74" s="800"/>
      <c r="MGR74" s="800"/>
      <c r="MGS74" s="800"/>
      <c r="MGT74" s="705"/>
      <c r="MGU74" s="799"/>
      <c r="MGV74" s="800"/>
      <c r="MGW74" s="800"/>
      <c r="MGX74" s="800"/>
      <c r="MGY74" s="800"/>
      <c r="MGZ74" s="800"/>
      <c r="MHA74" s="705"/>
      <c r="MHB74" s="799"/>
      <c r="MHC74" s="800"/>
      <c r="MHD74" s="800"/>
      <c r="MHE74" s="800"/>
      <c r="MHF74" s="800"/>
      <c r="MHG74" s="800"/>
      <c r="MHH74" s="705"/>
      <c r="MHI74" s="799"/>
      <c r="MHJ74" s="800"/>
      <c r="MHK74" s="800"/>
      <c r="MHL74" s="800"/>
      <c r="MHM74" s="800"/>
      <c r="MHN74" s="800"/>
      <c r="MHO74" s="705"/>
      <c r="MHP74" s="799"/>
      <c r="MHQ74" s="800"/>
      <c r="MHR74" s="800"/>
      <c r="MHS74" s="800"/>
      <c r="MHT74" s="800"/>
      <c r="MHU74" s="800"/>
      <c r="MHV74" s="705"/>
      <c r="MHW74" s="799"/>
      <c r="MHX74" s="800"/>
      <c r="MHY74" s="800"/>
      <c r="MHZ74" s="800"/>
      <c r="MIA74" s="800"/>
      <c r="MIB74" s="800"/>
      <c r="MIC74" s="705"/>
      <c r="MID74" s="799"/>
      <c r="MIE74" s="800"/>
      <c r="MIF74" s="800"/>
      <c r="MIG74" s="800"/>
      <c r="MIH74" s="800"/>
      <c r="MII74" s="800"/>
      <c r="MIJ74" s="705"/>
      <c r="MIK74" s="799"/>
      <c r="MIL74" s="800"/>
      <c r="MIM74" s="800"/>
      <c r="MIN74" s="800"/>
      <c r="MIO74" s="800"/>
      <c r="MIP74" s="800"/>
      <c r="MIQ74" s="705"/>
      <c r="MIR74" s="799"/>
      <c r="MIS74" s="800"/>
      <c r="MIT74" s="800"/>
      <c r="MIU74" s="800"/>
      <c r="MIV74" s="800"/>
      <c r="MIW74" s="800"/>
      <c r="MIX74" s="705"/>
      <c r="MIY74" s="799"/>
      <c r="MIZ74" s="800"/>
      <c r="MJA74" s="800"/>
      <c r="MJB74" s="800"/>
      <c r="MJC74" s="800"/>
      <c r="MJD74" s="800"/>
      <c r="MJE74" s="705"/>
      <c r="MJF74" s="799"/>
      <c r="MJG74" s="800"/>
      <c r="MJH74" s="800"/>
      <c r="MJI74" s="800"/>
      <c r="MJJ74" s="800"/>
      <c r="MJK74" s="800"/>
      <c r="MJL74" s="705"/>
      <c r="MJM74" s="799"/>
      <c r="MJN74" s="800"/>
      <c r="MJO74" s="800"/>
      <c r="MJP74" s="800"/>
      <c r="MJQ74" s="800"/>
      <c r="MJR74" s="800"/>
      <c r="MJS74" s="705"/>
      <c r="MJT74" s="799"/>
      <c r="MJU74" s="800"/>
      <c r="MJV74" s="800"/>
      <c r="MJW74" s="800"/>
      <c r="MJX74" s="800"/>
      <c r="MJY74" s="800"/>
      <c r="MJZ74" s="705"/>
      <c r="MKA74" s="799"/>
      <c r="MKB74" s="800"/>
      <c r="MKC74" s="800"/>
      <c r="MKD74" s="800"/>
      <c r="MKE74" s="800"/>
      <c r="MKF74" s="800"/>
      <c r="MKG74" s="705"/>
      <c r="MKH74" s="799"/>
      <c r="MKI74" s="800"/>
      <c r="MKJ74" s="800"/>
      <c r="MKK74" s="800"/>
      <c r="MKL74" s="800"/>
      <c r="MKM74" s="800"/>
      <c r="MKN74" s="705"/>
      <c r="MKO74" s="799"/>
      <c r="MKP74" s="800"/>
      <c r="MKQ74" s="800"/>
      <c r="MKR74" s="800"/>
      <c r="MKS74" s="800"/>
      <c r="MKT74" s="800"/>
      <c r="MKU74" s="705"/>
      <c r="MKV74" s="799"/>
      <c r="MKW74" s="800"/>
      <c r="MKX74" s="800"/>
      <c r="MKY74" s="800"/>
      <c r="MKZ74" s="800"/>
      <c r="MLA74" s="800"/>
      <c r="MLB74" s="705"/>
      <c r="MLC74" s="799"/>
      <c r="MLD74" s="800"/>
      <c r="MLE74" s="800"/>
      <c r="MLF74" s="800"/>
      <c r="MLG74" s="800"/>
      <c r="MLH74" s="800"/>
      <c r="MLI74" s="705"/>
      <c r="MLJ74" s="799"/>
      <c r="MLK74" s="800"/>
      <c r="MLL74" s="800"/>
      <c r="MLM74" s="800"/>
      <c r="MLN74" s="800"/>
      <c r="MLO74" s="800"/>
      <c r="MLP74" s="705"/>
      <c r="MLQ74" s="799"/>
      <c r="MLR74" s="800"/>
      <c r="MLS74" s="800"/>
      <c r="MLT74" s="800"/>
      <c r="MLU74" s="800"/>
      <c r="MLV74" s="800"/>
      <c r="MLW74" s="705"/>
      <c r="MLX74" s="799"/>
      <c r="MLY74" s="800"/>
      <c r="MLZ74" s="800"/>
      <c r="MMA74" s="800"/>
      <c r="MMB74" s="800"/>
      <c r="MMC74" s="800"/>
      <c r="MMD74" s="705"/>
      <c r="MME74" s="799"/>
      <c r="MMF74" s="800"/>
      <c r="MMG74" s="800"/>
      <c r="MMH74" s="800"/>
      <c r="MMI74" s="800"/>
      <c r="MMJ74" s="800"/>
      <c r="MMK74" s="705"/>
      <c r="MML74" s="799"/>
      <c r="MMM74" s="800"/>
      <c r="MMN74" s="800"/>
      <c r="MMO74" s="800"/>
      <c r="MMP74" s="800"/>
      <c r="MMQ74" s="800"/>
      <c r="MMR74" s="705"/>
      <c r="MMS74" s="799"/>
      <c r="MMT74" s="800"/>
      <c r="MMU74" s="800"/>
      <c r="MMV74" s="800"/>
      <c r="MMW74" s="800"/>
      <c r="MMX74" s="800"/>
      <c r="MMY74" s="705"/>
      <c r="MMZ74" s="799"/>
      <c r="MNA74" s="800"/>
      <c r="MNB74" s="800"/>
      <c r="MNC74" s="800"/>
      <c r="MND74" s="800"/>
      <c r="MNE74" s="800"/>
      <c r="MNF74" s="705"/>
      <c r="MNG74" s="799"/>
      <c r="MNH74" s="800"/>
      <c r="MNI74" s="800"/>
      <c r="MNJ74" s="800"/>
      <c r="MNK74" s="800"/>
      <c r="MNL74" s="800"/>
      <c r="MNM74" s="705"/>
      <c r="MNN74" s="799"/>
      <c r="MNO74" s="800"/>
      <c r="MNP74" s="800"/>
      <c r="MNQ74" s="800"/>
      <c r="MNR74" s="800"/>
      <c r="MNS74" s="800"/>
      <c r="MNT74" s="705"/>
      <c r="MNU74" s="799"/>
      <c r="MNV74" s="800"/>
      <c r="MNW74" s="800"/>
      <c r="MNX74" s="800"/>
      <c r="MNY74" s="800"/>
      <c r="MNZ74" s="800"/>
      <c r="MOA74" s="705"/>
      <c r="MOB74" s="799"/>
      <c r="MOC74" s="800"/>
      <c r="MOD74" s="800"/>
      <c r="MOE74" s="800"/>
      <c r="MOF74" s="800"/>
      <c r="MOG74" s="800"/>
      <c r="MOH74" s="705"/>
      <c r="MOI74" s="799"/>
      <c r="MOJ74" s="800"/>
      <c r="MOK74" s="800"/>
      <c r="MOL74" s="800"/>
      <c r="MOM74" s="800"/>
      <c r="MON74" s="800"/>
      <c r="MOO74" s="705"/>
      <c r="MOP74" s="799"/>
      <c r="MOQ74" s="800"/>
      <c r="MOR74" s="800"/>
      <c r="MOS74" s="800"/>
      <c r="MOT74" s="800"/>
      <c r="MOU74" s="800"/>
      <c r="MOV74" s="705"/>
      <c r="MOW74" s="799"/>
      <c r="MOX74" s="800"/>
      <c r="MOY74" s="800"/>
      <c r="MOZ74" s="800"/>
      <c r="MPA74" s="800"/>
      <c r="MPB74" s="800"/>
      <c r="MPC74" s="705"/>
      <c r="MPD74" s="799"/>
      <c r="MPE74" s="800"/>
      <c r="MPF74" s="800"/>
      <c r="MPG74" s="800"/>
      <c r="MPH74" s="800"/>
      <c r="MPI74" s="800"/>
      <c r="MPJ74" s="705"/>
      <c r="MPK74" s="799"/>
      <c r="MPL74" s="800"/>
      <c r="MPM74" s="800"/>
      <c r="MPN74" s="800"/>
      <c r="MPO74" s="800"/>
      <c r="MPP74" s="800"/>
      <c r="MPQ74" s="705"/>
      <c r="MPR74" s="799"/>
      <c r="MPS74" s="800"/>
      <c r="MPT74" s="800"/>
      <c r="MPU74" s="800"/>
      <c r="MPV74" s="800"/>
      <c r="MPW74" s="800"/>
      <c r="MPX74" s="705"/>
      <c r="MPY74" s="799"/>
      <c r="MPZ74" s="800"/>
      <c r="MQA74" s="800"/>
      <c r="MQB74" s="800"/>
      <c r="MQC74" s="800"/>
      <c r="MQD74" s="800"/>
      <c r="MQE74" s="705"/>
      <c r="MQF74" s="799"/>
      <c r="MQG74" s="800"/>
      <c r="MQH74" s="800"/>
      <c r="MQI74" s="800"/>
      <c r="MQJ74" s="800"/>
      <c r="MQK74" s="800"/>
      <c r="MQL74" s="705"/>
      <c r="MQM74" s="799"/>
      <c r="MQN74" s="800"/>
      <c r="MQO74" s="800"/>
      <c r="MQP74" s="800"/>
      <c r="MQQ74" s="800"/>
      <c r="MQR74" s="800"/>
      <c r="MQS74" s="705"/>
      <c r="MQT74" s="799"/>
      <c r="MQU74" s="800"/>
      <c r="MQV74" s="800"/>
      <c r="MQW74" s="800"/>
      <c r="MQX74" s="800"/>
      <c r="MQY74" s="800"/>
      <c r="MQZ74" s="705"/>
      <c r="MRA74" s="799"/>
      <c r="MRB74" s="800"/>
      <c r="MRC74" s="800"/>
      <c r="MRD74" s="800"/>
      <c r="MRE74" s="800"/>
      <c r="MRF74" s="800"/>
      <c r="MRG74" s="705"/>
      <c r="MRH74" s="799"/>
      <c r="MRI74" s="800"/>
      <c r="MRJ74" s="800"/>
      <c r="MRK74" s="800"/>
      <c r="MRL74" s="800"/>
      <c r="MRM74" s="800"/>
      <c r="MRN74" s="705"/>
      <c r="MRO74" s="799"/>
      <c r="MRP74" s="800"/>
      <c r="MRQ74" s="800"/>
      <c r="MRR74" s="800"/>
      <c r="MRS74" s="800"/>
      <c r="MRT74" s="800"/>
      <c r="MRU74" s="705"/>
      <c r="MRV74" s="799"/>
      <c r="MRW74" s="800"/>
      <c r="MRX74" s="800"/>
      <c r="MRY74" s="800"/>
      <c r="MRZ74" s="800"/>
      <c r="MSA74" s="800"/>
      <c r="MSB74" s="705"/>
      <c r="MSC74" s="799"/>
      <c r="MSD74" s="800"/>
      <c r="MSE74" s="800"/>
      <c r="MSF74" s="800"/>
      <c r="MSG74" s="800"/>
      <c r="MSH74" s="800"/>
      <c r="MSI74" s="705"/>
      <c r="MSJ74" s="799"/>
      <c r="MSK74" s="800"/>
      <c r="MSL74" s="800"/>
      <c r="MSM74" s="800"/>
      <c r="MSN74" s="800"/>
      <c r="MSO74" s="800"/>
      <c r="MSP74" s="705"/>
      <c r="MSQ74" s="799"/>
      <c r="MSR74" s="800"/>
      <c r="MSS74" s="800"/>
      <c r="MST74" s="800"/>
      <c r="MSU74" s="800"/>
      <c r="MSV74" s="800"/>
      <c r="MSW74" s="705"/>
      <c r="MSX74" s="799"/>
      <c r="MSY74" s="800"/>
      <c r="MSZ74" s="800"/>
      <c r="MTA74" s="800"/>
      <c r="MTB74" s="800"/>
      <c r="MTC74" s="800"/>
      <c r="MTD74" s="705"/>
      <c r="MTE74" s="799"/>
      <c r="MTF74" s="800"/>
      <c r="MTG74" s="800"/>
      <c r="MTH74" s="800"/>
      <c r="MTI74" s="800"/>
      <c r="MTJ74" s="800"/>
      <c r="MTK74" s="705"/>
      <c r="MTL74" s="799"/>
      <c r="MTM74" s="800"/>
      <c r="MTN74" s="800"/>
      <c r="MTO74" s="800"/>
      <c r="MTP74" s="800"/>
      <c r="MTQ74" s="800"/>
      <c r="MTR74" s="705"/>
      <c r="MTS74" s="799"/>
      <c r="MTT74" s="800"/>
      <c r="MTU74" s="800"/>
      <c r="MTV74" s="800"/>
      <c r="MTW74" s="800"/>
      <c r="MTX74" s="800"/>
      <c r="MTY74" s="705"/>
      <c r="MTZ74" s="799"/>
      <c r="MUA74" s="800"/>
      <c r="MUB74" s="800"/>
      <c r="MUC74" s="800"/>
      <c r="MUD74" s="800"/>
      <c r="MUE74" s="800"/>
      <c r="MUF74" s="705"/>
      <c r="MUG74" s="799"/>
      <c r="MUH74" s="800"/>
      <c r="MUI74" s="800"/>
      <c r="MUJ74" s="800"/>
      <c r="MUK74" s="800"/>
      <c r="MUL74" s="800"/>
      <c r="MUM74" s="705"/>
      <c r="MUN74" s="799"/>
      <c r="MUO74" s="800"/>
      <c r="MUP74" s="800"/>
      <c r="MUQ74" s="800"/>
      <c r="MUR74" s="800"/>
      <c r="MUS74" s="800"/>
      <c r="MUT74" s="705"/>
      <c r="MUU74" s="799"/>
      <c r="MUV74" s="800"/>
      <c r="MUW74" s="800"/>
      <c r="MUX74" s="800"/>
      <c r="MUY74" s="800"/>
      <c r="MUZ74" s="800"/>
      <c r="MVA74" s="705"/>
      <c r="MVB74" s="799"/>
      <c r="MVC74" s="800"/>
      <c r="MVD74" s="800"/>
      <c r="MVE74" s="800"/>
      <c r="MVF74" s="800"/>
      <c r="MVG74" s="800"/>
      <c r="MVH74" s="705"/>
      <c r="MVI74" s="799"/>
      <c r="MVJ74" s="800"/>
      <c r="MVK74" s="800"/>
      <c r="MVL74" s="800"/>
      <c r="MVM74" s="800"/>
      <c r="MVN74" s="800"/>
      <c r="MVO74" s="705"/>
      <c r="MVP74" s="799"/>
      <c r="MVQ74" s="800"/>
      <c r="MVR74" s="800"/>
      <c r="MVS74" s="800"/>
      <c r="MVT74" s="800"/>
      <c r="MVU74" s="800"/>
      <c r="MVV74" s="705"/>
      <c r="MVW74" s="799"/>
      <c r="MVX74" s="800"/>
      <c r="MVY74" s="800"/>
      <c r="MVZ74" s="800"/>
      <c r="MWA74" s="800"/>
      <c r="MWB74" s="800"/>
      <c r="MWC74" s="705"/>
      <c r="MWD74" s="799"/>
      <c r="MWE74" s="800"/>
      <c r="MWF74" s="800"/>
      <c r="MWG74" s="800"/>
      <c r="MWH74" s="800"/>
      <c r="MWI74" s="800"/>
      <c r="MWJ74" s="705"/>
      <c r="MWK74" s="799"/>
      <c r="MWL74" s="800"/>
      <c r="MWM74" s="800"/>
      <c r="MWN74" s="800"/>
      <c r="MWO74" s="800"/>
      <c r="MWP74" s="800"/>
      <c r="MWQ74" s="705"/>
      <c r="MWR74" s="799"/>
      <c r="MWS74" s="800"/>
      <c r="MWT74" s="800"/>
      <c r="MWU74" s="800"/>
      <c r="MWV74" s="800"/>
      <c r="MWW74" s="800"/>
      <c r="MWX74" s="705"/>
      <c r="MWY74" s="799"/>
      <c r="MWZ74" s="800"/>
      <c r="MXA74" s="800"/>
      <c r="MXB74" s="800"/>
      <c r="MXC74" s="800"/>
      <c r="MXD74" s="800"/>
      <c r="MXE74" s="705"/>
      <c r="MXF74" s="799"/>
      <c r="MXG74" s="800"/>
      <c r="MXH74" s="800"/>
      <c r="MXI74" s="800"/>
      <c r="MXJ74" s="800"/>
      <c r="MXK74" s="800"/>
      <c r="MXL74" s="705"/>
      <c r="MXM74" s="799"/>
      <c r="MXN74" s="800"/>
      <c r="MXO74" s="800"/>
      <c r="MXP74" s="800"/>
      <c r="MXQ74" s="800"/>
      <c r="MXR74" s="800"/>
      <c r="MXS74" s="705"/>
      <c r="MXT74" s="799"/>
      <c r="MXU74" s="800"/>
      <c r="MXV74" s="800"/>
      <c r="MXW74" s="800"/>
      <c r="MXX74" s="800"/>
      <c r="MXY74" s="800"/>
      <c r="MXZ74" s="705"/>
      <c r="MYA74" s="799"/>
      <c r="MYB74" s="800"/>
      <c r="MYC74" s="800"/>
      <c r="MYD74" s="800"/>
      <c r="MYE74" s="800"/>
      <c r="MYF74" s="800"/>
      <c r="MYG74" s="705"/>
      <c r="MYH74" s="799"/>
      <c r="MYI74" s="800"/>
      <c r="MYJ74" s="800"/>
      <c r="MYK74" s="800"/>
      <c r="MYL74" s="800"/>
      <c r="MYM74" s="800"/>
      <c r="MYN74" s="705"/>
      <c r="MYO74" s="799"/>
      <c r="MYP74" s="800"/>
      <c r="MYQ74" s="800"/>
      <c r="MYR74" s="800"/>
      <c r="MYS74" s="800"/>
      <c r="MYT74" s="800"/>
      <c r="MYU74" s="705"/>
      <c r="MYV74" s="799"/>
      <c r="MYW74" s="800"/>
      <c r="MYX74" s="800"/>
      <c r="MYY74" s="800"/>
      <c r="MYZ74" s="800"/>
      <c r="MZA74" s="800"/>
      <c r="MZB74" s="705"/>
      <c r="MZC74" s="799"/>
      <c r="MZD74" s="800"/>
      <c r="MZE74" s="800"/>
      <c r="MZF74" s="800"/>
      <c r="MZG74" s="800"/>
      <c r="MZH74" s="800"/>
      <c r="MZI74" s="705"/>
      <c r="MZJ74" s="799"/>
      <c r="MZK74" s="800"/>
      <c r="MZL74" s="800"/>
      <c r="MZM74" s="800"/>
      <c r="MZN74" s="800"/>
      <c r="MZO74" s="800"/>
      <c r="MZP74" s="705"/>
      <c r="MZQ74" s="799"/>
      <c r="MZR74" s="800"/>
      <c r="MZS74" s="800"/>
      <c r="MZT74" s="800"/>
      <c r="MZU74" s="800"/>
      <c r="MZV74" s="800"/>
      <c r="MZW74" s="705"/>
      <c r="MZX74" s="799"/>
      <c r="MZY74" s="800"/>
      <c r="MZZ74" s="800"/>
      <c r="NAA74" s="800"/>
      <c r="NAB74" s="800"/>
      <c r="NAC74" s="800"/>
      <c r="NAD74" s="705"/>
      <c r="NAE74" s="799"/>
      <c r="NAF74" s="800"/>
      <c r="NAG74" s="800"/>
      <c r="NAH74" s="800"/>
      <c r="NAI74" s="800"/>
      <c r="NAJ74" s="800"/>
      <c r="NAK74" s="705"/>
      <c r="NAL74" s="799"/>
      <c r="NAM74" s="800"/>
      <c r="NAN74" s="800"/>
      <c r="NAO74" s="800"/>
      <c r="NAP74" s="800"/>
      <c r="NAQ74" s="800"/>
      <c r="NAR74" s="705"/>
      <c r="NAS74" s="799"/>
      <c r="NAT74" s="800"/>
      <c r="NAU74" s="800"/>
      <c r="NAV74" s="800"/>
      <c r="NAW74" s="800"/>
      <c r="NAX74" s="800"/>
      <c r="NAY74" s="705"/>
      <c r="NAZ74" s="799"/>
      <c r="NBA74" s="800"/>
      <c r="NBB74" s="800"/>
      <c r="NBC74" s="800"/>
      <c r="NBD74" s="800"/>
      <c r="NBE74" s="800"/>
      <c r="NBF74" s="705"/>
      <c r="NBG74" s="799"/>
      <c r="NBH74" s="800"/>
      <c r="NBI74" s="800"/>
      <c r="NBJ74" s="800"/>
      <c r="NBK74" s="800"/>
      <c r="NBL74" s="800"/>
      <c r="NBM74" s="705"/>
      <c r="NBN74" s="799"/>
      <c r="NBO74" s="800"/>
      <c r="NBP74" s="800"/>
      <c r="NBQ74" s="800"/>
      <c r="NBR74" s="800"/>
      <c r="NBS74" s="800"/>
      <c r="NBT74" s="705"/>
      <c r="NBU74" s="799"/>
      <c r="NBV74" s="800"/>
      <c r="NBW74" s="800"/>
      <c r="NBX74" s="800"/>
      <c r="NBY74" s="800"/>
      <c r="NBZ74" s="800"/>
      <c r="NCA74" s="705"/>
      <c r="NCB74" s="799"/>
      <c r="NCC74" s="800"/>
      <c r="NCD74" s="800"/>
      <c r="NCE74" s="800"/>
      <c r="NCF74" s="800"/>
      <c r="NCG74" s="800"/>
      <c r="NCH74" s="705"/>
      <c r="NCI74" s="799"/>
      <c r="NCJ74" s="800"/>
      <c r="NCK74" s="800"/>
      <c r="NCL74" s="800"/>
      <c r="NCM74" s="800"/>
      <c r="NCN74" s="800"/>
      <c r="NCO74" s="705"/>
      <c r="NCP74" s="799"/>
      <c r="NCQ74" s="800"/>
      <c r="NCR74" s="800"/>
      <c r="NCS74" s="800"/>
      <c r="NCT74" s="800"/>
      <c r="NCU74" s="800"/>
      <c r="NCV74" s="705"/>
      <c r="NCW74" s="799"/>
      <c r="NCX74" s="800"/>
      <c r="NCY74" s="800"/>
      <c r="NCZ74" s="800"/>
      <c r="NDA74" s="800"/>
      <c r="NDB74" s="800"/>
      <c r="NDC74" s="705"/>
      <c r="NDD74" s="799"/>
      <c r="NDE74" s="800"/>
      <c r="NDF74" s="800"/>
      <c r="NDG74" s="800"/>
      <c r="NDH74" s="800"/>
      <c r="NDI74" s="800"/>
      <c r="NDJ74" s="705"/>
      <c r="NDK74" s="799"/>
      <c r="NDL74" s="800"/>
      <c r="NDM74" s="800"/>
      <c r="NDN74" s="800"/>
      <c r="NDO74" s="800"/>
      <c r="NDP74" s="800"/>
      <c r="NDQ74" s="705"/>
      <c r="NDR74" s="799"/>
      <c r="NDS74" s="800"/>
      <c r="NDT74" s="800"/>
      <c r="NDU74" s="800"/>
      <c r="NDV74" s="800"/>
      <c r="NDW74" s="800"/>
      <c r="NDX74" s="705"/>
      <c r="NDY74" s="799"/>
      <c r="NDZ74" s="800"/>
      <c r="NEA74" s="800"/>
      <c r="NEB74" s="800"/>
      <c r="NEC74" s="800"/>
      <c r="NED74" s="800"/>
      <c r="NEE74" s="705"/>
      <c r="NEF74" s="799"/>
      <c r="NEG74" s="800"/>
      <c r="NEH74" s="800"/>
      <c r="NEI74" s="800"/>
      <c r="NEJ74" s="800"/>
      <c r="NEK74" s="800"/>
      <c r="NEL74" s="705"/>
      <c r="NEM74" s="799"/>
      <c r="NEN74" s="800"/>
      <c r="NEO74" s="800"/>
      <c r="NEP74" s="800"/>
      <c r="NEQ74" s="800"/>
      <c r="NER74" s="800"/>
      <c r="NES74" s="705"/>
      <c r="NET74" s="799"/>
      <c r="NEU74" s="800"/>
      <c r="NEV74" s="800"/>
      <c r="NEW74" s="800"/>
      <c r="NEX74" s="800"/>
      <c r="NEY74" s="800"/>
      <c r="NEZ74" s="705"/>
      <c r="NFA74" s="799"/>
      <c r="NFB74" s="800"/>
      <c r="NFC74" s="800"/>
      <c r="NFD74" s="800"/>
      <c r="NFE74" s="800"/>
      <c r="NFF74" s="800"/>
      <c r="NFG74" s="705"/>
      <c r="NFH74" s="799"/>
      <c r="NFI74" s="800"/>
      <c r="NFJ74" s="800"/>
      <c r="NFK74" s="800"/>
      <c r="NFL74" s="800"/>
      <c r="NFM74" s="800"/>
      <c r="NFN74" s="705"/>
      <c r="NFO74" s="799"/>
      <c r="NFP74" s="800"/>
      <c r="NFQ74" s="800"/>
      <c r="NFR74" s="800"/>
      <c r="NFS74" s="800"/>
      <c r="NFT74" s="800"/>
      <c r="NFU74" s="705"/>
      <c r="NFV74" s="799"/>
      <c r="NFW74" s="800"/>
      <c r="NFX74" s="800"/>
      <c r="NFY74" s="800"/>
      <c r="NFZ74" s="800"/>
      <c r="NGA74" s="800"/>
      <c r="NGB74" s="705"/>
      <c r="NGC74" s="799"/>
      <c r="NGD74" s="800"/>
      <c r="NGE74" s="800"/>
      <c r="NGF74" s="800"/>
      <c r="NGG74" s="800"/>
      <c r="NGH74" s="800"/>
      <c r="NGI74" s="705"/>
      <c r="NGJ74" s="799"/>
      <c r="NGK74" s="800"/>
      <c r="NGL74" s="800"/>
      <c r="NGM74" s="800"/>
      <c r="NGN74" s="800"/>
      <c r="NGO74" s="800"/>
      <c r="NGP74" s="705"/>
      <c r="NGQ74" s="799"/>
      <c r="NGR74" s="800"/>
      <c r="NGS74" s="800"/>
      <c r="NGT74" s="800"/>
      <c r="NGU74" s="800"/>
      <c r="NGV74" s="800"/>
      <c r="NGW74" s="705"/>
      <c r="NGX74" s="799"/>
      <c r="NGY74" s="800"/>
      <c r="NGZ74" s="800"/>
      <c r="NHA74" s="800"/>
      <c r="NHB74" s="800"/>
      <c r="NHC74" s="800"/>
      <c r="NHD74" s="705"/>
      <c r="NHE74" s="799"/>
      <c r="NHF74" s="800"/>
      <c r="NHG74" s="800"/>
      <c r="NHH74" s="800"/>
      <c r="NHI74" s="800"/>
      <c r="NHJ74" s="800"/>
      <c r="NHK74" s="705"/>
      <c r="NHL74" s="799"/>
      <c r="NHM74" s="800"/>
      <c r="NHN74" s="800"/>
      <c r="NHO74" s="800"/>
      <c r="NHP74" s="800"/>
      <c r="NHQ74" s="800"/>
      <c r="NHR74" s="705"/>
      <c r="NHS74" s="799"/>
      <c r="NHT74" s="800"/>
      <c r="NHU74" s="800"/>
      <c r="NHV74" s="800"/>
      <c r="NHW74" s="800"/>
      <c r="NHX74" s="800"/>
      <c r="NHY74" s="705"/>
      <c r="NHZ74" s="799"/>
      <c r="NIA74" s="800"/>
      <c r="NIB74" s="800"/>
      <c r="NIC74" s="800"/>
      <c r="NID74" s="800"/>
      <c r="NIE74" s="800"/>
      <c r="NIF74" s="705"/>
      <c r="NIG74" s="799"/>
      <c r="NIH74" s="800"/>
      <c r="NII74" s="800"/>
      <c r="NIJ74" s="800"/>
      <c r="NIK74" s="800"/>
      <c r="NIL74" s="800"/>
      <c r="NIM74" s="705"/>
      <c r="NIN74" s="799"/>
      <c r="NIO74" s="800"/>
      <c r="NIP74" s="800"/>
      <c r="NIQ74" s="800"/>
      <c r="NIR74" s="800"/>
      <c r="NIS74" s="800"/>
      <c r="NIT74" s="705"/>
      <c r="NIU74" s="799"/>
      <c r="NIV74" s="800"/>
      <c r="NIW74" s="800"/>
      <c r="NIX74" s="800"/>
      <c r="NIY74" s="800"/>
      <c r="NIZ74" s="800"/>
      <c r="NJA74" s="705"/>
      <c r="NJB74" s="799"/>
      <c r="NJC74" s="800"/>
      <c r="NJD74" s="800"/>
      <c r="NJE74" s="800"/>
      <c r="NJF74" s="800"/>
      <c r="NJG74" s="800"/>
      <c r="NJH74" s="705"/>
      <c r="NJI74" s="799"/>
      <c r="NJJ74" s="800"/>
      <c r="NJK74" s="800"/>
      <c r="NJL74" s="800"/>
      <c r="NJM74" s="800"/>
      <c r="NJN74" s="800"/>
      <c r="NJO74" s="705"/>
      <c r="NJP74" s="799"/>
      <c r="NJQ74" s="800"/>
      <c r="NJR74" s="800"/>
      <c r="NJS74" s="800"/>
      <c r="NJT74" s="800"/>
      <c r="NJU74" s="800"/>
      <c r="NJV74" s="705"/>
      <c r="NJW74" s="799"/>
      <c r="NJX74" s="800"/>
      <c r="NJY74" s="800"/>
      <c r="NJZ74" s="800"/>
      <c r="NKA74" s="800"/>
      <c r="NKB74" s="800"/>
      <c r="NKC74" s="705"/>
      <c r="NKD74" s="799"/>
      <c r="NKE74" s="800"/>
      <c r="NKF74" s="800"/>
      <c r="NKG74" s="800"/>
      <c r="NKH74" s="800"/>
      <c r="NKI74" s="800"/>
      <c r="NKJ74" s="705"/>
      <c r="NKK74" s="799"/>
      <c r="NKL74" s="800"/>
      <c r="NKM74" s="800"/>
      <c r="NKN74" s="800"/>
      <c r="NKO74" s="800"/>
      <c r="NKP74" s="800"/>
      <c r="NKQ74" s="705"/>
      <c r="NKR74" s="799"/>
      <c r="NKS74" s="800"/>
      <c r="NKT74" s="800"/>
      <c r="NKU74" s="800"/>
      <c r="NKV74" s="800"/>
      <c r="NKW74" s="800"/>
      <c r="NKX74" s="705"/>
      <c r="NKY74" s="799"/>
      <c r="NKZ74" s="800"/>
      <c r="NLA74" s="800"/>
      <c r="NLB74" s="800"/>
      <c r="NLC74" s="800"/>
      <c r="NLD74" s="800"/>
      <c r="NLE74" s="705"/>
      <c r="NLF74" s="799"/>
      <c r="NLG74" s="800"/>
      <c r="NLH74" s="800"/>
      <c r="NLI74" s="800"/>
      <c r="NLJ74" s="800"/>
      <c r="NLK74" s="800"/>
      <c r="NLL74" s="705"/>
      <c r="NLM74" s="799"/>
      <c r="NLN74" s="800"/>
      <c r="NLO74" s="800"/>
      <c r="NLP74" s="800"/>
      <c r="NLQ74" s="800"/>
      <c r="NLR74" s="800"/>
      <c r="NLS74" s="705"/>
      <c r="NLT74" s="799"/>
      <c r="NLU74" s="800"/>
      <c r="NLV74" s="800"/>
      <c r="NLW74" s="800"/>
      <c r="NLX74" s="800"/>
      <c r="NLY74" s="800"/>
      <c r="NLZ74" s="705"/>
      <c r="NMA74" s="799"/>
      <c r="NMB74" s="800"/>
      <c r="NMC74" s="800"/>
      <c r="NMD74" s="800"/>
      <c r="NME74" s="800"/>
      <c r="NMF74" s="800"/>
      <c r="NMG74" s="705"/>
      <c r="NMH74" s="799"/>
      <c r="NMI74" s="800"/>
      <c r="NMJ74" s="800"/>
      <c r="NMK74" s="800"/>
      <c r="NML74" s="800"/>
      <c r="NMM74" s="800"/>
      <c r="NMN74" s="705"/>
      <c r="NMO74" s="799"/>
      <c r="NMP74" s="800"/>
      <c r="NMQ74" s="800"/>
      <c r="NMR74" s="800"/>
      <c r="NMS74" s="800"/>
      <c r="NMT74" s="800"/>
      <c r="NMU74" s="705"/>
      <c r="NMV74" s="799"/>
      <c r="NMW74" s="800"/>
      <c r="NMX74" s="800"/>
      <c r="NMY74" s="800"/>
      <c r="NMZ74" s="800"/>
      <c r="NNA74" s="800"/>
      <c r="NNB74" s="705"/>
      <c r="NNC74" s="799"/>
      <c r="NND74" s="800"/>
      <c r="NNE74" s="800"/>
      <c r="NNF74" s="800"/>
      <c r="NNG74" s="800"/>
      <c r="NNH74" s="800"/>
      <c r="NNI74" s="705"/>
      <c r="NNJ74" s="799"/>
      <c r="NNK74" s="800"/>
      <c r="NNL74" s="800"/>
      <c r="NNM74" s="800"/>
      <c r="NNN74" s="800"/>
      <c r="NNO74" s="800"/>
      <c r="NNP74" s="705"/>
      <c r="NNQ74" s="799"/>
      <c r="NNR74" s="800"/>
      <c r="NNS74" s="800"/>
      <c r="NNT74" s="800"/>
      <c r="NNU74" s="800"/>
      <c r="NNV74" s="800"/>
      <c r="NNW74" s="705"/>
      <c r="NNX74" s="799"/>
      <c r="NNY74" s="800"/>
      <c r="NNZ74" s="800"/>
      <c r="NOA74" s="800"/>
      <c r="NOB74" s="800"/>
      <c r="NOC74" s="800"/>
      <c r="NOD74" s="705"/>
      <c r="NOE74" s="799"/>
      <c r="NOF74" s="800"/>
      <c r="NOG74" s="800"/>
      <c r="NOH74" s="800"/>
      <c r="NOI74" s="800"/>
      <c r="NOJ74" s="800"/>
      <c r="NOK74" s="705"/>
      <c r="NOL74" s="799"/>
      <c r="NOM74" s="800"/>
      <c r="NON74" s="800"/>
      <c r="NOO74" s="800"/>
      <c r="NOP74" s="800"/>
      <c r="NOQ74" s="800"/>
      <c r="NOR74" s="705"/>
      <c r="NOS74" s="799"/>
      <c r="NOT74" s="800"/>
      <c r="NOU74" s="800"/>
      <c r="NOV74" s="800"/>
      <c r="NOW74" s="800"/>
      <c r="NOX74" s="800"/>
      <c r="NOY74" s="705"/>
      <c r="NOZ74" s="799"/>
      <c r="NPA74" s="800"/>
      <c r="NPB74" s="800"/>
      <c r="NPC74" s="800"/>
      <c r="NPD74" s="800"/>
      <c r="NPE74" s="800"/>
      <c r="NPF74" s="705"/>
      <c r="NPG74" s="799"/>
      <c r="NPH74" s="800"/>
      <c r="NPI74" s="800"/>
      <c r="NPJ74" s="800"/>
      <c r="NPK74" s="800"/>
      <c r="NPL74" s="800"/>
      <c r="NPM74" s="705"/>
      <c r="NPN74" s="799"/>
      <c r="NPO74" s="800"/>
      <c r="NPP74" s="800"/>
      <c r="NPQ74" s="800"/>
      <c r="NPR74" s="800"/>
      <c r="NPS74" s="800"/>
      <c r="NPT74" s="705"/>
      <c r="NPU74" s="799"/>
      <c r="NPV74" s="800"/>
      <c r="NPW74" s="800"/>
      <c r="NPX74" s="800"/>
      <c r="NPY74" s="800"/>
      <c r="NPZ74" s="800"/>
      <c r="NQA74" s="705"/>
      <c r="NQB74" s="799"/>
      <c r="NQC74" s="800"/>
      <c r="NQD74" s="800"/>
      <c r="NQE74" s="800"/>
      <c r="NQF74" s="800"/>
      <c r="NQG74" s="800"/>
      <c r="NQH74" s="705"/>
      <c r="NQI74" s="799"/>
      <c r="NQJ74" s="800"/>
      <c r="NQK74" s="800"/>
      <c r="NQL74" s="800"/>
      <c r="NQM74" s="800"/>
      <c r="NQN74" s="800"/>
      <c r="NQO74" s="705"/>
      <c r="NQP74" s="799"/>
      <c r="NQQ74" s="800"/>
      <c r="NQR74" s="800"/>
      <c r="NQS74" s="800"/>
      <c r="NQT74" s="800"/>
      <c r="NQU74" s="800"/>
      <c r="NQV74" s="705"/>
      <c r="NQW74" s="799"/>
      <c r="NQX74" s="800"/>
      <c r="NQY74" s="800"/>
      <c r="NQZ74" s="800"/>
      <c r="NRA74" s="800"/>
      <c r="NRB74" s="800"/>
      <c r="NRC74" s="705"/>
      <c r="NRD74" s="799"/>
      <c r="NRE74" s="800"/>
      <c r="NRF74" s="800"/>
      <c r="NRG74" s="800"/>
      <c r="NRH74" s="800"/>
      <c r="NRI74" s="800"/>
      <c r="NRJ74" s="705"/>
      <c r="NRK74" s="799"/>
      <c r="NRL74" s="800"/>
      <c r="NRM74" s="800"/>
      <c r="NRN74" s="800"/>
      <c r="NRO74" s="800"/>
      <c r="NRP74" s="800"/>
      <c r="NRQ74" s="705"/>
      <c r="NRR74" s="799"/>
      <c r="NRS74" s="800"/>
      <c r="NRT74" s="800"/>
      <c r="NRU74" s="800"/>
      <c r="NRV74" s="800"/>
      <c r="NRW74" s="800"/>
      <c r="NRX74" s="705"/>
      <c r="NRY74" s="799"/>
      <c r="NRZ74" s="800"/>
      <c r="NSA74" s="800"/>
      <c r="NSB74" s="800"/>
      <c r="NSC74" s="800"/>
      <c r="NSD74" s="800"/>
      <c r="NSE74" s="705"/>
      <c r="NSF74" s="799"/>
      <c r="NSG74" s="800"/>
      <c r="NSH74" s="800"/>
      <c r="NSI74" s="800"/>
      <c r="NSJ74" s="800"/>
      <c r="NSK74" s="800"/>
      <c r="NSL74" s="705"/>
      <c r="NSM74" s="799"/>
      <c r="NSN74" s="800"/>
      <c r="NSO74" s="800"/>
      <c r="NSP74" s="800"/>
      <c r="NSQ74" s="800"/>
      <c r="NSR74" s="800"/>
      <c r="NSS74" s="705"/>
      <c r="NST74" s="799"/>
      <c r="NSU74" s="800"/>
      <c r="NSV74" s="800"/>
      <c r="NSW74" s="800"/>
      <c r="NSX74" s="800"/>
      <c r="NSY74" s="800"/>
      <c r="NSZ74" s="705"/>
      <c r="NTA74" s="799"/>
      <c r="NTB74" s="800"/>
      <c r="NTC74" s="800"/>
      <c r="NTD74" s="800"/>
      <c r="NTE74" s="800"/>
      <c r="NTF74" s="800"/>
      <c r="NTG74" s="705"/>
      <c r="NTH74" s="799"/>
      <c r="NTI74" s="800"/>
      <c r="NTJ74" s="800"/>
      <c r="NTK74" s="800"/>
      <c r="NTL74" s="800"/>
      <c r="NTM74" s="800"/>
      <c r="NTN74" s="705"/>
      <c r="NTO74" s="799"/>
      <c r="NTP74" s="800"/>
      <c r="NTQ74" s="800"/>
      <c r="NTR74" s="800"/>
      <c r="NTS74" s="800"/>
      <c r="NTT74" s="800"/>
      <c r="NTU74" s="705"/>
      <c r="NTV74" s="799"/>
      <c r="NTW74" s="800"/>
      <c r="NTX74" s="800"/>
      <c r="NTY74" s="800"/>
      <c r="NTZ74" s="800"/>
      <c r="NUA74" s="800"/>
      <c r="NUB74" s="705"/>
      <c r="NUC74" s="799"/>
      <c r="NUD74" s="800"/>
      <c r="NUE74" s="800"/>
      <c r="NUF74" s="800"/>
      <c r="NUG74" s="800"/>
      <c r="NUH74" s="800"/>
      <c r="NUI74" s="705"/>
      <c r="NUJ74" s="799"/>
      <c r="NUK74" s="800"/>
      <c r="NUL74" s="800"/>
      <c r="NUM74" s="800"/>
      <c r="NUN74" s="800"/>
      <c r="NUO74" s="800"/>
      <c r="NUP74" s="705"/>
      <c r="NUQ74" s="799"/>
      <c r="NUR74" s="800"/>
      <c r="NUS74" s="800"/>
      <c r="NUT74" s="800"/>
      <c r="NUU74" s="800"/>
      <c r="NUV74" s="800"/>
      <c r="NUW74" s="705"/>
      <c r="NUX74" s="799"/>
      <c r="NUY74" s="800"/>
      <c r="NUZ74" s="800"/>
      <c r="NVA74" s="800"/>
      <c r="NVB74" s="800"/>
      <c r="NVC74" s="800"/>
      <c r="NVD74" s="705"/>
      <c r="NVE74" s="799"/>
      <c r="NVF74" s="800"/>
      <c r="NVG74" s="800"/>
      <c r="NVH74" s="800"/>
      <c r="NVI74" s="800"/>
      <c r="NVJ74" s="800"/>
      <c r="NVK74" s="705"/>
      <c r="NVL74" s="799"/>
      <c r="NVM74" s="800"/>
      <c r="NVN74" s="800"/>
      <c r="NVO74" s="800"/>
      <c r="NVP74" s="800"/>
      <c r="NVQ74" s="800"/>
      <c r="NVR74" s="705"/>
      <c r="NVS74" s="799"/>
      <c r="NVT74" s="800"/>
      <c r="NVU74" s="800"/>
      <c r="NVV74" s="800"/>
      <c r="NVW74" s="800"/>
      <c r="NVX74" s="800"/>
      <c r="NVY74" s="705"/>
      <c r="NVZ74" s="799"/>
      <c r="NWA74" s="800"/>
      <c r="NWB74" s="800"/>
      <c r="NWC74" s="800"/>
      <c r="NWD74" s="800"/>
      <c r="NWE74" s="800"/>
      <c r="NWF74" s="705"/>
      <c r="NWG74" s="799"/>
      <c r="NWH74" s="800"/>
      <c r="NWI74" s="800"/>
      <c r="NWJ74" s="800"/>
      <c r="NWK74" s="800"/>
      <c r="NWL74" s="800"/>
      <c r="NWM74" s="705"/>
      <c r="NWN74" s="799"/>
      <c r="NWO74" s="800"/>
      <c r="NWP74" s="800"/>
      <c r="NWQ74" s="800"/>
      <c r="NWR74" s="800"/>
      <c r="NWS74" s="800"/>
      <c r="NWT74" s="705"/>
      <c r="NWU74" s="799"/>
      <c r="NWV74" s="800"/>
      <c r="NWW74" s="800"/>
      <c r="NWX74" s="800"/>
      <c r="NWY74" s="800"/>
      <c r="NWZ74" s="800"/>
      <c r="NXA74" s="705"/>
      <c r="NXB74" s="799"/>
      <c r="NXC74" s="800"/>
      <c r="NXD74" s="800"/>
      <c r="NXE74" s="800"/>
      <c r="NXF74" s="800"/>
      <c r="NXG74" s="800"/>
      <c r="NXH74" s="705"/>
      <c r="NXI74" s="799"/>
      <c r="NXJ74" s="800"/>
      <c r="NXK74" s="800"/>
      <c r="NXL74" s="800"/>
      <c r="NXM74" s="800"/>
      <c r="NXN74" s="800"/>
      <c r="NXO74" s="705"/>
      <c r="NXP74" s="799"/>
      <c r="NXQ74" s="800"/>
      <c r="NXR74" s="800"/>
      <c r="NXS74" s="800"/>
      <c r="NXT74" s="800"/>
      <c r="NXU74" s="800"/>
      <c r="NXV74" s="705"/>
      <c r="NXW74" s="799"/>
      <c r="NXX74" s="800"/>
      <c r="NXY74" s="800"/>
      <c r="NXZ74" s="800"/>
      <c r="NYA74" s="800"/>
      <c r="NYB74" s="800"/>
      <c r="NYC74" s="705"/>
      <c r="NYD74" s="799"/>
      <c r="NYE74" s="800"/>
      <c r="NYF74" s="800"/>
      <c r="NYG74" s="800"/>
      <c r="NYH74" s="800"/>
      <c r="NYI74" s="800"/>
      <c r="NYJ74" s="705"/>
      <c r="NYK74" s="799"/>
      <c r="NYL74" s="800"/>
      <c r="NYM74" s="800"/>
      <c r="NYN74" s="800"/>
      <c r="NYO74" s="800"/>
      <c r="NYP74" s="800"/>
      <c r="NYQ74" s="705"/>
      <c r="NYR74" s="799"/>
      <c r="NYS74" s="800"/>
      <c r="NYT74" s="800"/>
      <c r="NYU74" s="800"/>
      <c r="NYV74" s="800"/>
      <c r="NYW74" s="800"/>
      <c r="NYX74" s="705"/>
      <c r="NYY74" s="799"/>
      <c r="NYZ74" s="800"/>
      <c r="NZA74" s="800"/>
      <c r="NZB74" s="800"/>
      <c r="NZC74" s="800"/>
      <c r="NZD74" s="800"/>
      <c r="NZE74" s="705"/>
      <c r="NZF74" s="799"/>
      <c r="NZG74" s="800"/>
      <c r="NZH74" s="800"/>
      <c r="NZI74" s="800"/>
      <c r="NZJ74" s="800"/>
      <c r="NZK74" s="800"/>
      <c r="NZL74" s="705"/>
      <c r="NZM74" s="799"/>
      <c r="NZN74" s="800"/>
      <c r="NZO74" s="800"/>
      <c r="NZP74" s="800"/>
      <c r="NZQ74" s="800"/>
      <c r="NZR74" s="800"/>
      <c r="NZS74" s="705"/>
      <c r="NZT74" s="799"/>
      <c r="NZU74" s="800"/>
      <c r="NZV74" s="800"/>
      <c r="NZW74" s="800"/>
      <c r="NZX74" s="800"/>
      <c r="NZY74" s="800"/>
      <c r="NZZ74" s="705"/>
      <c r="OAA74" s="799"/>
      <c r="OAB74" s="800"/>
      <c r="OAC74" s="800"/>
      <c r="OAD74" s="800"/>
      <c r="OAE74" s="800"/>
      <c r="OAF74" s="800"/>
      <c r="OAG74" s="705"/>
      <c r="OAH74" s="799"/>
      <c r="OAI74" s="800"/>
      <c r="OAJ74" s="800"/>
      <c r="OAK74" s="800"/>
      <c r="OAL74" s="800"/>
      <c r="OAM74" s="800"/>
      <c r="OAN74" s="705"/>
      <c r="OAO74" s="799"/>
      <c r="OAP74" s="800"/>
      <c r="OAQ74" s="800"/>
      <c r="OAR74" s="800"/>
      <c r="OAS74" s="800"/>
      <c r="OAT74" s="800"/>
      <c r="OAU74" s="705"/>
      <c r="OAV74" s="799"/>
      <c r="OAW74" s="800"/>
      <c r="OAX74" s="800"/>
      <c r="OAY74" s="800"/>
      <c r="OAZ74" s="800"/>
      <c r="OBA74" s="800"/>
      <c r="OBB74" s="705"/>
      <c r="OBC74" s="799"/>
      <c r="OBD74" s="800"/>
      <c r="OBE74" s="800"/>
      <c r="OBF74" s="800"/>
      <c r="OBG74" s="800"/>
      <c r="OBH74" s="800"/>
      <c r="OBI74" s="705"/>
      <c r="OBJ74" s="799"/>
      <c r="OBK74" s="800"/>
      <c r="OBL74" s="800"/>
      <c r="OBM74" s="800"/>
      <c r="OBN74" s="800"/>
      <c r="OBO74" s="800"/>
      <c r="OBP74" s="705"/>
      <c r="OBQ74" s="799"/>
      <c r="OBR74" s="800"/>
      <c r="OBS74" s="800"/>
      <c r="OBT74" s="800"/>
      <c r="OBU74" s="800"/>
      <c r="OBV74" s="800"/>
      <c r="OBW74" s="705"/>
      <c r="OBX74" s="799"/>
      <c r="OBY74" s="800"/>
      <c r="OBZ74" s="800"/>
      <c r="OCA74" s="800"/>
      <c r="OCB74" s="800"/>
      <c r="OCC74" s="800"/>
      <c r="OCD74" s="705"/>
      <c r="OCE74" s="799"/>
      <c r="OCF74" s="800"/>
      <c r="OCG74" s="800"/>
      <c r="OCH74" s="800"/>
      <c r="OCI74" s="800"/>
      <c r="OCJ74" s="800"/>
      <c r="OCK74" s="705"/>
      <c r="OCL74" s="799"/>
      <c r="OCM74" s="800"/>
      <c r="OCN74" s="800"/>
      <c r="OCO74" s="800"/>
      <c r="OCP74" s="800"/>
      <c r="OCQ74" s="800"/>
      <c r="OCR74" s="705"/>
      <c r="OCS74" s="799"/>
      <c r="OCT74" s="800"/>
      <c r="OCU74" s="800"/>
      <c r="OCV74" s="800"/>
      <c r="OCW74" s="800"/>
      <c r="OCX74" s="800"/>
      <c r="OCY74" s="705"/>
      <c r="OCZ74" s="799"/>
      <c r="ODA74" s="800"/>
      <c r="ODB74" s="800"/>
      <c r="ODC74" s="800"/>
      <c r="ODD74" s="800"/>
      <c r="ODE74" s="800"/>
      <c r="ODF74" s="705"/>
      <c r="ODG74" s="799"/>
      <c r="ODH74" s="800"/>
      <c r="ODI74" s="800"/>
      <c r="ODJ74" s="800"/>
      <c r="ODK74" s="800"/>
      <c r="ODL74" s="800"/>
      <c r="ODM74" s="705"/>
      <c r="ODN74" s="799"/>
      <c r="ODO74" s="800"/>
      <c r="ODP74" s="800"/>
      <c r="ODQ74" s="800"/>
      <c r="ODR74" s="800"/>
      <c r="ODS74" s="800"/>
      <c r="ODT74" s="705"/>
      <c r="ODU74" s="799"/>
      <c r="ODV74" s="800"/>
      <c r="ODW74" s="800"/>
      <c r="ODX74" s="800"/>
      <c r="ODY74" s="800"/>
      <c r="ODZ74" s="800"/>
      <c r="OEA74" s="705"/>
      <c r="OEB74" s="799"/>
      <c r="OEC74" s="800"/>
      <c r="OED74" s="800"/>
      <c r="OEE74" s="800"/>
      <c r="OEF74" s="800"/>
      <c r="OEG74" s="800"/>
      <c r="OEH74" s="705"/>
      <c r="OEI74" s="799"/>
      <c r="OEJ74" s="800"/>
      <c r="OEK74" s="800"/>
      <c r="OEL74" s="800"/>
      <c r="OEM74" s="800"/>
      <c r="OEN74" s="800"/>
      <c r="OEO74" s="705"/>
      <c r="OEP74" s="799"/>
      <c r="OEQ74" s="800"/>
      <c r="OER74" s="800"/>
      <c r="OES74" s="800"/>
      <c r="OET74" s="800"/>
      <c r="OEU74" s="800"/>
      <c r="OEV74" s="705"/>
      <c r="OEW74" s="799"/>
      <c r="OEX74" s="800"/>
      <c r="OEY74" s="800"/>
      <c r="OEZ74" s="800"/>
      <c r="OFA74" s="800"/>
      <c r="OFB74" s="800"/>
      <c r="OFC74" s="705"/>
      <c r="OFD74" s="799"/>
      <c r="OFE74" s="800"/>
      <c r="OFF74" s="800"/>
      <c r="OFG74" s="800"/>
      <c r="OFH74" s="800"/>
      <c r="OFI74" s="800"/>
      <c r="OFJ74" s="705"/>
      <c r="OFK74" s="799"/>
      <c r="OFL74" s="800"/>
      <c r="OFM74" s="800"/>
      <c r="OFN74" s="800"/>
      <c r="OFO74" s="800"/>
      <c r="OFP74" s="800"/>
      <c r="OFQ74" s="705"/>
      <c r="OFR74" s="799"/>
      <c r="OFS74" s="800"/>
      <c r="OFT74" s="800"/>
      <c r="OFU74" s="800"/>
      <c r="OFV74" s="800"/>
      <c r="OFW74" s="800"/>
      <c r="OFX74" s="705"/>
      <c r="OFY74" s="799"/>
      <c r="OFZ74" s="800"/>
      <c r="OGA74" s="800"/>
      <c r="OGB74" s="800"/>
      <c r="OGC74" s="800"/>
      <c r="OGD74" s="800"/>
      <c r="OGE74" s="705"/>
      <c r="OGF74" s="799"/>
      <c r="OGG74" s="800"/>
      <c r="OGH74" s="800"/>
      <c r="OGI74" s="800"/>
      <c r="OGJ74" s="800"/>
      <c r="OGK74" s="800"/>
      <c r="OGL74" s="705"/>
      <c r="OGM74" s="799"/>
      <c r="OGN74" s="800"/>
      <c r="OGO74" s="800"/>
      <c r="OGP74" s="800"/>
      <c r="OGQ74" s="800"/>
      <c r="OGR74" s="800"/>
      <c r="OGS74" s="705"/>
      <c r="OGT74" s="799"/>
      <c r="OGU74" s="800"/>
      <c r="OGV74" s="800"/>
      <c r="OGW74" s="800"/>
      <c r="OGX74" s="800"/>
      <c r="OGY74" s="800"/>
      <c r="OGZ74" s="705"/>
      <c r="OHA74" s="799"/>
      <c r="OHB74" s="800"/>
      <c r="OHC74" s="800"/>
      <c r="OHD74" s="800"/>
      <c r="OHE74" s="800"/>
      <c r="OHF74" s="800"/>
      <c r="OHG74" s="705"/>
      <c r="OHH74" s="799"/>
      <c r="OHI74" s="800"/>
      <c r="OHJ74" s="800"/>
      <c r="OHK74" s="800"/>
      <c r="OHL74" s="800"/>
      <c r="OHM74" s="800"/>
      <c r="OHN74" s="705"/>
      <c r="OHO74" s="799"/>
      <c r="OHP74" s="800"/>
      <c r="OHQ74" s="800"/>
      <c r="OHR74" s="800"/>
      <c r="OHS74" s="800"/>
      <c r="OHT74" s="800"/>
      <c r="OHU74" s="705"/>
      <c r="OHV74" s="799"/>
      <c r="OHW74" s="800"/>
      <c r="OHX74" s="800"/>
      <c r="OHY74" s="800"/>
      <c r="OHZ74" s="800"/>
      <c r="OIA74" s="800"/>
      <c r="OIB74" s="705"/>
      <c r="OIC74" s="799"/>
      <c r="OID74" s="800"/>
      <c r="OIE74" s="800"/>
      <c r="OIF74" s="800"/>
      <c r="OIG74" s="800"/>
      <c r="OIH74" s="800"/>
      <c r="OII74" s="705"/>
      <c r="OIJ74" s="799"/>
      <c r="OIK74" s="800"/>
      <c r="OIL74" s="800"/>
      <c r="OIM74" s="800"/>
      <c r="OIN74" s="800"/>
      <c r="OIO74" s="800"/>
      <c r="OIP74" s="705"/>
      <c r="OIQ74" s="799"/>
      <c r="OIR74" s="800"/>
      <c r="OIS74" s="800"/>
      <c r="OIT74" s="800"/>
      <c r="OIU74" s="800"/>
      <c r="OIV74" s="800"/>
      <c r="OIW74" s="705"/>
      <c r="OIX74" s="799"/>
      <c r="OIY74" s="800"/>
      <c r="OIZ74" s="800"/>
      <c r="OJA74" s="800"/>
      <c r="OJB74" s="800"/>
      <c r="OJC74" s="800"/>
      <c r="OJD74" s="705"/>
      <c r="OJE74" s="799"/>
      <c r="OJF74" s="800"/>
      <c r="OJG74" s="800"/>
      <c r="OJH74" s="800"/>
      <c r="OJI74" s="800"/>
      <c r="OJJ74" s="800"/>
      <c r="OJK74" s="705"/>
      <c r="OJL74" s="799"/>
      <c r="OJM74" s="800"/>
      <c r="OJN74" s="800"/>
      <c r="OJO74" s="800"/>
      <c r="OJP74" s="800"/>
      <c r="OJQ74" s="800"/>
      <c r="OJR74" s="705"/>
      <c r="OJS74" s="799"/>
      <c r="OJT74" s="800"/>
      <c r="OJU74" s="800"/>
      <c r="OJV74" s="800"/>
      <c r="OJW74" s="800"/>
      <c r="OJX74" s="800"/>
      <c r="OJY74" s="705"/>
      <c r="OJZ74" s="799"/>
      <c r="OKA74" s="800"/>
      <c r="OKB74" s="800"/>
      <c r="OKC74" s="800"/>
      <c r="OKD74" s="800"/>
      <c r="OKE74" s="800"/>
      <c r="OKF74" s="705"/>
      <c r="OKG74" s="799"/>
      <c r="OKH74" s="800"/>
      <c r="OKI74" s="800"/>
      <c r="OKJ74" s="800"/>
      <c r="OKK74" s="800"/>
      <c r="OKL74" s="800"/>
      <c r="OKM74" s="705"/>
      <c r="OKN74" s="799"/>
      <c r="OKO74" s="800"/>
      <c r="OKP74" s="800"/>
      <c r="OKQ74" s="800"/>
      <c r="OKR74" s="800"/>
      <c r="OKS74" s="800"/>
      <c r="OKT74" s="705"/>
      <c r="OKU74" s="799"/>
      <c r="OKV74" s="800"/>
      <c r="OKW74" s="800"/>
      <c r="OKX74" s="800"/>
      <c r="OKY74" s="800"/>
      <c r="OKZ74" s="800"/>
      <c r="OLA74" s="705"/>
      <c r="OLB74" s="799"/>
      <c r="OLC74" s="800"/>
      <c r="OLD74" s="800"/>
      <c r="OLE74" s="800"/>
      <c r="OLF74" s="800"/>
      <c r="OLG74" s="800"/>
      <c r="OLH74" s="705"/>
      <c r="OLI74" s="799"/>
      <c r="OLJ74" s="800"/>
      <c r="OLK74" s="800"/>
      <c r="OLL74" s="800"/>
      <c r="OLM74" s="800"/>
      <c r="OLN74" s="800"/>
      <c r="OLO74" s="705"/>
      <c r="OLP74" s="799"/>
      <c r="OLQ74" s="800"/>
      <c r="OLR74" s="800"/>
      <c r="OLS74" s="800"/>
      <c r="OLT74" s="800"/>
      <c r="OLU74" s="800"/>
      <c r="OLV74" s="705"/>
      <c r="OLW74" s="799"/>
      <c r="OLX74" s="800"/>
      <c r="OLY74" s="800"/>
      <c r="OLZ74" s="800"/>
      <c r="OMA74" s="800"/>
      <c r="OMB74" s="800"/>
      <c r="OMC74" s="705"/>
      <c r="OMD74" s="799"/>
      <c r="OME74" s="800"/>
      <c r="OMF74" s="800"/>
      <c r="OMG74" s="800"/>
      <c r="OMH74" s="800"/>
      <c r="OMI74" s="800"/>
      <c r="OMJ74" s="705"/>
      <c r="OMK74" s="799"/>
      <c r="OML74" s="800"/>
      <c r="OMM74" s="800"/>
      <c r="OMN74" s="800"/>
      <c r="OMO74" s="800"/>
      <c r="OMP74" s="800"/>
      <c r="OMQ74" s="705"/>
      <c r="OMR74" s="799"/>
      <c r="OMS74" s="800"/>
      <c r="OMT74" s="800"/>
      <c r="OMU74" s="800"/>
      <c r="OMV74" s="800"/>
      <c r="OMW74" s="800"/>
      <c r="OMX74" s="705"/>
      <c r="OMY74" s="799"/>
      <c r="OMZ74" s="800"/>
      <c r="ONA74" s="800"/>
      <c r="ONB74" s="800"/>
      <c r="ONC74" s="800"/>
      <c r="OND74" s="800"/>
      <c r="ONE74" s="705"/>
      <c r="ONF74" s="799"/>
      <c r="ONG74" s="800"/>
      <c r="ONH74" s="800"/>
      <c r="ONI74" s="800"/>
      <c r="ONJ74" s="800"/>
      <c r="ONK74" s="800"/>
      <c r="ONL74" s="705"/>
      <c r="ONM74" s="799"/>
      <c r="ONN74" s="800"/>
      <c r="ONO74" s="800"/>
      <c r="ONP74" s="800"/>
      <c r="ONQ74" s="800"/>
      <c r="ONR74" s="800"/>
      <c r="ONS74" s="705"/>
      <c r="ONT74" s="799"/>
      <c r="ONU74" s="800"/>
      <c r="ONV74" s="800"/>
      <c r="ONW74" s="800"/>
      <c r="ONX74" s="800"/>
      <c r="ONY74" s="800"/>
      <c r="ONZ74" s="705"/>
      <c r="OOA74" s="799"/>
      <c r="OOB74" s="800"/>
      <c r="OOC74" s="800"/>
      <c r="OOD74" s="800"/>
      <c r="OOE74" s="800"/>
      <c r="OOF74" s="800"/>
      <c r="OOG74" s="705"/>
      <c r="OOH74" s="799"/>
      <c r="OOI74" s="800"/>
      <c r="OOJ74" s="800"/>
      <c r="OOK74" s="800"/>
      <c r="OOL74" s="800"/>
      <c r="OOM74" s="800"/>
      <c r="OON74" s="705"/>
      <c r="OOO74" s="799"/>
      <c r="OOP74" s="800"/>
      <c r="OOQ74" s="800"/>
      <c r="OOR74" s="800"/>
      <c r="OOS74" s="800"/>
      <c r="OOT74" s="800"/>
      <c r="OOU74" s="705"/>
      <c r="OOV74" s="799"/>
      <c r="OOW74" s="800"/>
      <c r="OOX74" s="800"/>
      <c r="OOY74" s="800"/>
      <c r="OOZ74" s="800"/>
      <c r="OPA74" s="800"/>
      <c r="OPB74" s="705"/>
      <c r="OPC74" s="799"/>
      <c r="OPD74" s="800"/>
      <c r="OPE74" s="800"/>
      <c r="OPF74" s="800"/>
      <c r="OPG74" s="800"/>
      <c r="OPH74" s="800"/>
      <c r="OPI74" s="705"/>
      <c r="OPJ74" s="799"/>
      <c r="OPK74" s="800"/>
      <c r="OPL74" s="800"/>
      <c r="OPM74" s="800"/>
      <c r="OPN74" s="800"/>
      <c r="OPO74" s="800"/>
      <c r="OPP74" s="705"/>
      <c r="OPQ74" s="799"/>
      <c r="OPR74" s="800"/>
      <c r="OPS74" s="800"/>
      <c r="OPT74" s="800"/>
      <c r="OPU74" s="800"/>
      <c r="OPV74" s="800"/>
      <c r="OPW74" s="705"/>
      <c r="OPX74" s="799"/>
      <c r="OPY74" s="800"/>
      <c r="OPZ74" s="800"/>
      <c r="OQA74" s="800"/>
      <c r="OQB74" s="800"/>
      <c r="OQC74" s="800"/>
      <c r="OQD74" s="705"/>
      <c r="OQE74" s="799"/>
      <c r="OQF74" s="800"/>
      <c r="OQG74" s="800"/>
      <c r="OQH74" s="800"/>
      <c r="OQI74" s="800"/>
      <c r="OQJ74" s="800"/>
      <c r="OQK74" s="705"/>
      <c r="OQL74" s="799"/>
      <c r="OQM74" s="800"/>
      <c r="OQN74" s="800"/>
      <c r="OQO74" s="800"/>
      <c r="OQP74" s="800"/>
      <c r="OQQ74" s="800"/>
      <c r="OQR74" s="705"/>
      <c r="OQS74" s="799"/>
      <c r="OQT74" s="800"/>
      <c r="OQU74" s="800"/>
      <c r="OQV74" s="800"/>
      <c r="OQW74" s="800"/>
      <c r="OQX74" s="800"/>
      <c r="OQY74" s="705"/>
      <c r="OQZ74" s="799"/>
      <c r="ORA74" s="800"/>
      <c r="ORB74" s="800"/>
      <c r="ORC74" s="800"/>
      <c r="ORD74" s="800"/>
      <c r="ORE74" s="800"/>
      <c r="ORF74" s="705"/>
      <c r="ORG74" s="799"/>
      <c r="ORH74" s="800"/>
      <c r="ORI74" s="800"/>
      <c r="ORJ74" s="800"/>
      <c r="ORK74" s="800"/>
      <c r="ORL74" s="800"/>
      <c r="ORM74" s="705"/>
      <c r="ORN74" s="799"/>
      <c r="ORO74" s="800"/>
      <c r="ORP74" s="800"/>
      <c r="ORQ74" s="800"/>
      <c r="ORR74" s="800"/>
      <c r="ORS74" s="800"/>
      <c r="ORT74" s="705"/>
      <c r="ORU74" s="799"/>
      <c r="ORV74" s="800"/>
      <c r="ORW74" s="800"/>
      <c r="ORX74" s="800"/>
      <c r="ORY74" s="800"/>
      <c r="ORZ74" s="800"/>
      <c r="OSA74" s="705"/>
      <c r="OSB74" s="799"/>
      <c r="OSC74" s="800"/>
      <c r="OSD74" s="800"/>
      <c r="OSE74" s="800"/>
      <c r="OSF74" s="800"/>
      <c r="OSG74" s="800"/>
      <c r="OSH74" s="705"/>
      <c r="OSI74" s="799"/>
      <c r="OSJ74" s="800"/>
      <c r="OSK74" s="800"/>
      <c r="OSL74" s="800"/>
      <c r="OSM74" s="800"/>
      <c r="OSN74" s="800"/>
      <c r="OSO74" s="705"/>
      <c r="OSP74" s="799"/>
      <c r="OSQ74" s="800"/>
      <c r="OSR74" s="800"/>
      <c r="OSS74" s="800"/>
      <c r="OST74" s="800"/>
      <c r="OSU74" s="800"/>
      <c r="OSV74" s="705"/>
      <c r="OSW74" s="799"/>
      <c r="OSX74" s="800"/>
      <c r="OSY74" s="800"/>
      <c r="OSZ74" s="800"/>
      <c r="OTA74" s="800"/>
      <c r="OTB74" s="800"/>
      <c r="OTC74" s="705"/>
      <c r="OTD74" s="799"/>
      <c r="OTE74" s="800"/>
      <c r="OTF74" s="800"/>
      <c r="OTG74" s="800"/>
      <c r="OTH74" s="800"/>
      <c r="OTI74" s="800"/>
      <c r="OTJ74" s="705"/>
      <c r="OTK74" s="799"/>
      <c r="OTL74" s="800"/>
      <c r="OTM74" s="800"/>
      <c r="OTN74" s="800"/>
      <c r="OTO74" s="800"/>
      <c r="OTP74" s="800"/>
      <c r="OTQ74" s="705"/>
      <c r="OTR74" s="799"/>
      <c r="OTS74" s="800"/>
      <c r="OTT74" s="800"/>
      <c r="OTU74" s="800"/>
      <c r="OTV74" s="800"/>
      <c r="OTW74" s="800"/>
      <c r="OTX74" s="705"/>
      <c r="OTY74" s="799"/>
      <c r="OTZ74" s="800"/>
      <c r="OUA74" s="800"/>
      <c r="OUB74" s="800"/>
      <c r="OUC74" s="800"/>
      <c r="OUD74" s="800"/>
      <c r="OUE74" s="705"/>
      <c r="OUF74" s="799"/>
      <c r="OUG74" s="800"/>
      <c r="OUH74" s="800"/>
      <c r="OUI74" s="800"/>
      <c r="OUJ74" s="800"/>
      <c r="OUK74" s="800"/>
      <c r="OUL74" s="705"/>
      <c r="OUM74" s="799"/>
      <c r="OUN74" s="800"/>
      <c r="OUO74" s="800"/>
      <c r="OUP74" s="800"/>
      <c r="OUQ74" s="800"/>
      <c r="OUR74" s="800"/>
      <c r="OUS74" s="705"/>
      <c r="OUT74" s="799"/>
      <c r="OUU74" s="800"/>
      <c r="OUV74" s="800"/>
      <c r="OUW74" s="800"/>
      <c r="OUX74" s="800"/>
      <c r="OUY74" s="800"/>
      <c r="OUZ74" s="705"/>
      <c r="OVA74" s="799"/>
      <c r="OVB74" s="800"/>
      <c r="OVC74" s="800"/>
      <c r="OVD74" s="800"/>
      <c r="OVE74" s="800"/>
      <c r="OVF74" s="800"/>
      <c r="OVG74" s="705"/>
      <c r="OVH74" s="799"/>
      <c r="OVI74" s="800"/>
      <c r="OVJ74" s="800"/>
      <c r="OVK74" s="800"/>
      <c r="OVL74" s="800"/>
      <c r="OVM74" s="800"/>
      <c r="OVN74" s="705"/>
      <c r="OVO74" s="799"/>
      <c r="OVP74" s="800"/>
      <c r="OVQ74" s="800"/>
      <c r="OVR74" s="800"/>
      <c r="OVS74" s="800"/>
      <c r="OVT74" s="800"/>
      <c r="OVU74" s="705"/>
      <c r="OVV74" s="799"/>
      <c r="OVW74" s="800"/>
      <c r="OVX74" s="800"/>
      <c r="OVY74" s="800"/>
      <c r="OVZ74" s="800"/>
      <c r="OWA74" s="800"/>
      <c r="OWB74" s="705"/>
      <c r="OWC74" s="799"/>
      <c r="OWD74" s="800"/>
      <c r="OWE74" s="800"/>
      <c r="OWF74" s="800"/>
      <c r="OWG74" s="800"/>
      <c r="OWH74" s="800"/>
      <c r="OWI74" s="705"/>
      <c r="OWJ74" s="799"/>
      <c r="OWK74" s="800"/>
      <c r="OWL74" s="800"/>
      <c r="OWM74" s="800"/>
      <c r="OWN74" s="800"/>
      <c r="OWO74" s="800"/>
      <c r="OWP74" s="705"/>
      <c r="OWQ74" s="799"/>
      <c r="OWR74" s="800"/>
      <c r="OWS74" s="800"/>
      <c r="OWT74" s="800"/>
      <c r="OWU74" s="800"/>
      <c r="OWV74" s="800"/>
      <c r="OWW74" s="705"/>
      <c r="OWX74" s="799"/>
      <c r="OWY74" s="800"/>
      <c r="OWZ74" s="800"/>
      <c r="OXA74" s="800"/>
      <c r="OXB74" s="800"/>
      <c r="OXC74" s="800"/>
      <c r="OXD74" s="705"/>
      <c r="OXE74" s="799"/>
      <c r="OXF74" s="800"/>
      <c r="OXG74" s="800"/>
      <c r="OXH74" s="800"/>
      <c r="OXI74" s="800"/>
      <c r="OXJ74" s="800"/>
      <c r="OXK74" s="705"/>
      <c r="OXL74" s="799"/>
      <c r="OXM74" s="800"/>
      <c r="OXN74" s="800"/>
      <c r="OXO74" s="800"/>
      <c r="OXP74" s="800"/>
      <c r="OXQ74" s="800"/>
      <c r="OXR74" s="705"/>
      <c r="OXS74" s="799"/>
      <c r="OXT74" s="800"/>
      <c r="OXU74" s="800"/>
      <c r="OXV74" s="800"/>
      <c r="OXW74" s="800"/>
      <c r="OXX74" s="800"/>
      <c r="OXY74" s="705"/>
      <c r="OXZ74" s="799"/>
      <c r="OYA74" s="800"/>
      <c r="OYB74" s="800"/>
      <c r="OYC74" s="800"/>
      <c r="OYD74" s="800"/>
      <c r="OYE74" s="800"/>
      <c r="OYF74" s="705"/>
      <c r="OYG74" s="799"/>
      <c r="OYH74" s="800"/>
      <c r="OYI74" s="800"/>
      <c r="OYJ74" s="800"/>
      <c r="OYK74" s="800"/>
      <c r="OYL74" s="800"/>
      <c r="OYM74" s="705"/>
      <c r="OYN74" s="799"/>
      <c r="OYO74" s="800"/>
      <c r="OYP74" s="800"/>
      <c r="OYQ74" s="800"/>
      <c r="OYR74" s="800"/>
      <c r="OYS74" s="800"/>
      <c r="OYT74" s="705"/>
      <c r="OYU74" s="799"/>
      <c r="OYV74" s="800"/>
      <c r="OYW74" s="800"/>
      <c r="OYX74" s="800"/>
      <c r="OYY74" s="800"/>
      <c r="OYZ74" s="800"/>
      <c r="OZA74" s="705"/>
      <c r="OZB74" s="799"/>
      <c r="OZC74" s="800"/>
      <c r="OZD74" s="800"/>
      <c r="OZE74" s="800"/>
      <c r="OZF74" s="800"/>
      <c r="OZG74" s="800"/>
      <c r="OZH74" s="705"/>
      <c r="OZI74" s="799"/>
      <c r="OZJ74" s="800"/>
      <c r="OZK74" s="800"/>
      <c r="OZL74" s="800"/>
      <c r="OZM74" s="800"/>
      <c r="OZN74" s="800"/>
      <c r="OZO74" s="705"/>
      <c r="OZP74" s="799"/>
      <c r="OZQ74" s="800"/>
      <c r="OZR74" s="800"/>
      <c r="OZS74" s="800"/>
      <c r="OZT74" s="800"/>
      <c r="OZU74" s="800"/>
      <c r="OZV74" s="705"/>
      <c r="OZW74" s="799"/>
      <c r="OZX74" s="800"/>
      <c r="OZY74" s="800"/>
      <c r="OZZ74" s="800"/>
      <c r="PAA74" s="800"/>
      <c r="PAB74" s="800"/>
      <c r="PAC74" s="705"/>
      <c r="PAD74" s="799"/>
      <c r="PAE74" s="800"/>
      <c r="PAF74" s="800"/>
      <c r="PAG74" s="800"/>
      <c r="PAH74" s="800"/>
      <c r="PAI74" s="800"/>
      <c r="PAJ74" s="705"/>
      <c r="PAK74" s="799"/>
      <c r="PAL74" s="800"/>
      <c r="PAM74" s="800"/>
      <c r="PAN74" s="800"/>
      <c r="PAO74" s="800"/>
      <c r="PAP74" s="800"/>
      <c r="PAQ74" s="705"/>
      <c r="PAR74" s="799"/>
      <c r="PAS74" s="800"/>
      <c r="PAT74" s="800"/>
      <c r="PAU74" s="800"/>
      <c r="PAV74" s="800"/>
      <c r="PAW74" s="800"/>
      <c r="PAX74" s="705"/>
      <c r="PAY74" s="799"/>
      <c r="PAZ74" s="800"/>
      <c r="PBA74" s="800"/>
      <c r="PBB74" s="800"/>
      <c r="PBC74" s="800"/>
      <c r="PBD74" s="800"/>
      <c r="PBE74" s="705"/>
      <c r="PBF74" s="799"/>
      <c r="PBG74" s="800"/>
      <c r="PBH74" s="800"/>
      <c r="PBI74" s="800"/>
      <c r="PBJ74" s="800"/>
      <c r="PBK74" s="800"/>
      <c r="PBL74" s="705"/>
      <c r="PBM74" s="799"/>
      <c r="PBN74" s="800"/>
      <c r="PBO74" s="800"/>
      <c r="PBP74" s="800"/>
      <c r="PBQ74" s="800"/>
      <c r="PBR74" s="800"/>
      <c r="PBS74" s="705"/>
      <c r="PBT74" s="799"/>
      <c r="PBU74" s="800"/>
      <c r="PBV74" s="800"/>
      <c r="PBW74" s="800"/>
      <c r="PBX74" s="800"/>
      <c r="PBY74" s="800"/>
      <c r="PBZ74" s="705"/>
      <c r="PCA74" s="799"/>
      <c r="PCB74" s="800"/>
      <c r="PCC74" s="800"/>
      <c r="PCD74" s="800"/>
      <c r="PCE74" s="800"/>
      <c r="PCF74" s="800"/>
      <c r="PCG74" s="705"/>
      <c r="PCH74" s="799"/>
      <c r="PCI74" s="800"/>
      <c r="PCJ74" s="800"/>
      <c r="PCK74" s="800"/>
      <c r="PCL74" s="800"/>
      <c r="PCM74" s="800"/>
      <c r="PCN74" s="705"/>
      <c r="PCO74" s="799"/>
      <c r="PCP74" s="800"/>
      <c r="PCQ74" s="800"/>
      <c r="PCR74" s="800"/>
      <c r="PCS74" s="800"/>
      <c r="PCT74" s="800"/>
      <c r="PCU74" s="705"/>
      <c r="PCV74" s="799"/>
      <c r="PCW74" s="800"/>
      <c r="PCX74" s="800"/>
      <c r="PCY74" s="800"/>
      <c r="PCZ74" s="800"/>
      <c r="PDA74" s="800"/>
      <c r="PDB74" s="705"/>
      <c r="PDC74" s="799"/>
      <c r="PDD74" s="800"/>
      <c r="PDE74" s="800"/>
      <c r="PDF74" s="800"/>
      <c r="PDG74" s="800"/>
      <c r="PDH74" s="800"/>
      <c r="PDI74" s="705"/>
      <c r="PDJ74" s="799"/>
      <c r="PDK74" s="800"/>
      <c r="PDL74" s="800"/>
      <c r="PDM74" s="800"/>
      <c r="PDN74" s="800"/>
      <c r="PDO74" s="800"/>
      <c r="PDP74" s="705"/>
      <c r="PDQ74" s="799"/>
      <c r="PDR74" s="800"/>
      <c r="PDS74" s="800"/>
      <c r="PDT74" s="800"/>
      <c r="PDU74" s="800"/>
      <c r="PDV74" s="800"/>
      <c r="PDW74" s="705"/>
      <c r="PDX74" s="799"/>
      <c r="PDY74" s="800"/>
      <c r="PDZ74" s="800"/>
      <c r="PEA74" s="800"/>
      <c r="PEB74" s="800"/>
      <c r="PEC74" s="800"/>
      <c r="PED74" s="705"/>
      <c r="PEE74" s="799"/>
      <c r="PEF74" s="800"/>
      <c r="PEG74" s="800"/>
      <c r="PEH74" s="800"/>
      <c r="PEI74" s="800"/>
      <c r="PEJ74" s="800"/>
      <c r="PEK74" s="705"/>
      <c r="PEL74" s="799"/>
      <c r="PEM74" s="800"/>
      <c r="PEN74" s="800"/>
      <c r="PEO74" s="800"/>
      <c r="PEP74" s="800"/>
      <c r="PEQ74" s="800"/>
      <c r="PER74" s="705"/>
      <c r="PES74" s="799"/>
      <c r="PET74" s="800"/>
      <c r="PEU74" s="800"/>
      <c r="PEV74" s="800"/>
      <c r="PEW74" s="800"/>
      <c r="PEX74" s="800"/>
      <c r="PEY74" s="705"/>
      <c r="PEZ74" s="799"/>
      <c r="PFA74" s="800"/>
      <c r="PFB74" s="800"/>
      <c r="PFC74" s="800"/>
      <c r="PFD74" s="800"/>
      <c r="PFE74" s="800"/>
      <c r="PFF74" s="705"/>
      <c r="PFG74" s="799"/>
      <c r="PFH74" s="800"/>
      <c r="PFI74" s="800"/>
      <c r="PFJ74" s="800"/>
      <c r="PFK74" s="800"/>
      <c r="PFL74" s="800"/>
      <c r="PFM74" s="705"/>
      <c r="PFN74" s="799"/>
      <c r="PFO74" s="800"/>
      <c r="PFP74" s="800"/>
      <c r="PFQ74" s="800"/>
      <c r="PFR74" s="800"/>
      <c r="PFS74" s="800"/>
      <c r="PFT74" s="705"/>
      <c r="PFU74" s="799"/>
      <c r="PFV74" s="800"/>
      <c r="PFW74" s="800"/>
      <c r="PFX74" s="800"/>
      <c r="PFY74" s="800"/>
      <c r="PFZ74" s="800"/>
      <c r="PGA74" s="705"/>
      <c r="PGB74" s="799"/>
      <c r="PGC74" s="800"/>
      <c r="PGD74" s="800"/>
      <c r="PGE74" s="800"/>
      <c r="PGF74" s="800"/>
      <c r="PGG74" s="800"/>
      <c r="PGH74" s="705"/>
      <c r="PGI74" s="799"/>
      <c r="PGJ74" s="800"/>
      <c r="PGK74" s="800"/>
      <c r="PGL74" s="800"/>
      <c r="PGM74" s="800"/>
      <c r="PGN74" s="800"/>
      <c r="PGO74" s="705"/>
      <c r="PGP74" s="799"/>
      <c r="PGQ74" s="800"/>
      <c r="PGR74" s="800"/>
      <c r="PGS74" s="800"/>
      <c r="PGT74" s="800"/>
      <c r="PGU74" s="800"/>
      <c r="PGV74" s="705"/>
      <c r="PGW74" s="799"/>
      <c r="PGX74" s="800"/>
      <c r="PGY74" s="800"/>
      <c r="PGZ74" s="800"/>
      <c r="PHA74" s="800"/>
      <c r="PHB74" s="800"/>
      <c r="PHC74" s="705"/>
      <c r="PHD74" s="799"/>
      <c r="PHE74" s="800"/>
      <c r="PHF74" s="800"/>
      <c r="PHG74" s="800"/>
      <c r="PHH74" s="800"/>
      <c r="PHI74" s="800"/>
      <c r="PHJ74" s="705"/>
      <c r="PHK74" s="799"/>
      <c r="PHL74" s="800"/>
      <c r="PHM74" s="800"/>
      <c r="PHN74" s="800"/>
      <c r="PHO74" s="800"/>
      <c r="PHP74" s="800"/>
      <c r="PHQ74" s="705"/>
      <c r="PHR74" s="799"/>
      <c r="PHS74" s="800"/>
      <c r="PHT74" s="800"/>
      <c r="PHU74" s="800"/>
      <c r="PHV74" s="800"/>
      <c r="PHW74" s="800"/>
      <c r="PHX74" s="705"/>
      <c r="PHY74" s="799"/>
      <c r="PHZ74" s="800"/>
      <c r="PIA74" s="800"/>
      <c r="PIB74" s="800"/>
      <c r="PIC74" s="800"/>
      <c r="PID74" s="800"/>
      <c r="PIE74" s="705"/>
      <c r="PIF74" s="799"/>
      <c r="PIG74" s="800"/>
      <c r="PIH74" s="800"/>
      <c r="PII74" s="800"/>
      <c r="PIJ74" s="800"/>
      <c r="PIK74" s="800"/>
      <c r="PIL74" s="705"/>
      <c r="PIM74" s="799"/>
      <c r="PIN74" s="800"/>
      <c r="PIO74" s="800"/>
      <c r="PIP74" s="800"/>
      <c r="PIQ74" s="800"/>
      <c r="PIR74" s="800"/>
      <c r="PIS74" s="705"/>
      <c r="PIT74" s="799"/>
      <c r="PIU74" s="800"/>
      <c r="PIV74" s="800"/>
      <c r="PIW74" s="800"/>
      <c r="PIX74" s="800"/>
      <c r="PIY74" s="800"/>
      <c r="PIZ74" s="705"/>
      <c r="PJA74" s="799"/>
      <c r="PJB74" s="800"/>
      <c r="PJC74" s="800"/>
      <c r="PJD74" s="800"/>
      <c r="PJE74" s="800"/>
      <c r="PJF74" s="800"/>
      <c r="PJG74" s="705"/>
      <c r="PJH74" s="799"/>
      <c r="PJI74" s="800"/>
      <c r="PJJ74" s="800"/>
      <c r="PJK74" s="800"/>
      <c r="PJL74" s="800"/>
      <c r="PJM74" s="800"/>
      <c r="PJN74" s="705"/>
      <c r="PJO74" s="799"/>
      <c r="PJP74" s="800"/>
      <c r="PJQ74" s="800"/>
      <c r="PJR74" s="800"/>
      <c r="PJS74" s="800"/>
      <c r="PJT74" s="800"/>
      <c r="PJU74" s="705"/>
      <c r="PJV74" s="799"/>
      <c r="PJW74" s="800"/>
      <c r="PJX74" s="800"/>
      <c r="PJY74" s="800"/>
      <c r="PJZ74" s="800"/>
      <c r="PKA74" s="800"/>
      <c r="PKB74" s="705"/>
      <c r="PKC74" s="799"/>
      <c r="PKD74" s="800"/>
      <c r="PKE74" s="800"/>
      <c r="PKF74" s="800"/>
      <c r="PKG74" s="800"/>
      <c r="PKH74" s="800"/>
      <c r="PKI74" s="705"/>
      <c r="PKJ74" s="799"/>
      <c r="PKK74" s="800"/>
      <c r="PKL74" s="800"/>
      <c r="PKM74" s="800"/>
      <c r="PKN74" s="800"/>
      <c r="PKO74" s="800"/>
      <c r="PKP74" s="705"/>
      <c r="PKQ74" s="799"/>
      <c r="PKR74" s="800"/>
      <c r="PKS74" s="800"/>
      <c r="PKT74" s="800"/>
      <c r="PKU74" s="800"/>
      <c r="PKV74" s="800"/>
      <c r="PKW74" s="705"/>
      <c r="PKX74" s="799"/>
      <c r="PKY74" s="800"/>
      <c r="PKZ74" s="800"/>
      <c r="PLA74" s="800"/>
      <c r="PLB74" s="800"/>
      <c r="PLC74" s="800"/>
      <c r="PLD74" s="705"/>
      <c r="PLE74" s="799"/>
      <c r="PLF74" s="800"/>
      <c r="PLG74" s="800"/>
      <c r="PLH74" s="800"/>
      <c r="PLI74" s="800"/>
      <c r="PLJ74" s="800"/>
      <c r="PLK74" s="705"/>
      <c r="PLL74" s="799"/>
      <c r="PLM74" s="800"/>
      <c r="PLN74" s="800"/>
      <c r="PLO74" s="800"/>
      <c r="PLP74" s="800"/>
      <c r="PLQ74" s="800"/>
      <c r="PLR74" s="705"/>
      <c r="PLS74" s="799"/>
      <c r="PLT74" s="800"/>
      <c r="PLU74" s="800"/>
      <c r="PLV74" s="800"/>
      <c r="PLW74" s="800"/>
      <c r="PLX74" s="800"/>
      <c r="PLY74" s="705"/>
      <c r="PLZ74" s="799"/>
      <c r="PMA74" s="800"/>
      <c r="PMB74" s="800"/>
      <c r="PMC74" s="800"/>
      <c r="PMD74" s="800"/>
      <c r="PME74" s="800"/>
      <c r="PMF74" s="705"/>
      <c r="PMG74" s="799"/>
      <c r="PMH74" s="800"/>
      <c r="PMI74" s="800"/>
      <c r="PMJ74" s="800"/>
      <c r="PMK74" s="800"/>
      <c r="PML74" s="800"/>
      <c r="PMM74" s="705"/>
      <c r="PMN74" s="799"/>
      <c r="PMO74" s="800"/>
      <c r="PMP74" s="800"/>
      <c r="PMQ74" s="800"/>
      <c r="PMR74" s="800"/>
      <c r="PMS74" s="800"/>
      <c r="PMT74" s="705"/>
      <c r="PMU74" s="799"/>
      <c r="PMV74" s="800"/>
      <c r="PMW74" s="800"/>
      <c r="PMX74" s="800"/>
      <c r="PMY74" s="800"/>
      <c r="PMZ74" s="800"/>
      <c r="PNA74" s="705"/>
      <c r="PNB74" s="799"/>
      <c r="PNC74" s="800"/>
      <c r="PND74" s="800"/>
      <c r="PNE74" s="800"/>
      <c r="PNF74" s="800"/>
      <c r="PNG74" s="800"/>
      <c r="PNH74" s="705"/>
      <c r="PNI74" s="799"/>
      <c r="PNJ74" s="800"/>
      <c r="PNK74" s="800"/>
      <c r="PNL74" s="800"/>
      <c r="PNM74" s="800"/>
      <c r="PNN74" s="800"/>
      <c r="PNO74" s="705"/>
      <c r="PNP74" s="799"/>
      <c r="PNQ74" s="800"/>
      <c r="PNR74" s="800"/>
      <c r="PNS74" s="800"/>
      <c r="PNT74" s="800"/>
      <c r="PNU74" s="800"/>
      <c r="PNV74" s="705"/>
      <c r="PNW74" s="799"/>
      <c r="PNX74" s="800"/>
      <c r="PNY74" s="800"/>
      <c r="PNZ74" s="800"/>
      <c r="POA74" s="800"/>
      <c r="POB74" s="800"/>
      <c r="POC74" s="705"/>
      <c r="POD74" s="799"/>
      <c r="POE74" s="800"/>
      <c r="POF74" s="800"/>
      <c r="POG74" s="800"/>
      <c r="POH74" s="800"/>
      <c r="POI74" s="800"/>
      <c r="POJ74" s="705"/>
      <c r="POK74" s="799"/>
      <c r="POL74" s="800"/>
      <c r="POM74" s="800"/>
      <c r="PON74" s="800"/>
      <c r="POO74" s="800"/>
      <c r="POP74" s="800"/>
      <c r="POQ74" s="705"/>
      <c r="POR74" s="799"/>
      <c r="POS74" s="800"/>
      <c r="POT74" s="800"/>
      <c r="POU74" s="800"/>
      <c r="POV74" s="800"/>
      <c r="POW74" s="800"/>
      <c r="POX74" s="705"/>
      <c r="POY74" s="799"/>
      <c r="POZ74" s="800"/>
      <c r="PPA74" s="800"/>
      <c r="PPB74" s="800"/>
      <c r="PPC74" s="800"/>
      <c r="PPD74" s="800"/>
      <c r="PPE74" s="705"/>
      <c r="PPF74" s="799"/>
      <c r="PPG74" s="800"/>
      <c r="PPH74" s="800"/>
      <c r="PPI74" s="800"/>
      <c r="PPJ74" s="800"/>
      <c r="PPK74" s="800"/>
      <c r="PPL74" s="705"/>
      <c r="PPM74" s="799"/>
      <c r="PPN74" s="800"/>
      <c r="PPO74" s="800"/>
      <c r="PPP74" s="800"/>
      <c r="PPQ74" s="800"/>
      <c r="PPR74" s="800"/>
      <c r="PPS74" s="705"/>
      <c r="PPT74" s="799"/>
      <c r="PPU74" s="800"/>
      <c r="PPV74" s="800"/>
      <c r="PPW74" s="800"/>
      <c r="PPX74" s="800"/>
      <c r="PPY74" s="800"/>
      <c r="PPZ74" s="705"/>
      <c r="PQA74" s="799"/>
      <c r="PQB74" s="800"/>
      <c r="PQC74" s="800"/>
      <c r="PQD74" s="800"/>
      <c r="PQE74" s="800"/>
      <c r="PQF74" s="800"/>
      <c r="PQG74" s="705"/>
      <c r="PQH74" s="799"/>
      <c r="PQI74" s="800"/>
      <c r="PQJ74" s="800"/>
      <c r="PQK74" s="800"/>
      <c r="PQL74" s="800"/>
      <c r="PQM74" s="800"/>
      <c r="PQN74" s="705"/>
      <c r="PQO74" s="799"/>
      <c r="PQP74" s="800"/>
      <c r="PQQ74" s="800"/>
      <c r="PQR74" s="800"/>
      <c r="PQS74" s="800"/>
      <c r="PQT74" s="800"/>
      <c r="PQU74" s="705"/>
      <c r="PQV74" s="799"/>
      <c r="PQW74" s="800"/>
      <c r="PQX74" s="800"/>
      <c r="PQY74" s="800"/>
      <c r="PQZ74" s="800"/>
      <c r="PRA74" s="800"/>
      <c r="PRB74" s="705"/>
      <c r="PRC74" s="799"/>
      <c r="PRD74" s="800"/>
      <c r="PRE74" s="800"/>
      <c r="PRF74" s="800"/>
      <c r="PRG74" s="800"/>
      <c r="PRH74" s="800"/>
      <c r="PRI74" s="705"/>
      <c r="PRJ74" s="799"/>
      <c r="PRK74" s="800"/>
      <c r="PRL74" s="800"/>
      <c r="PRM74" s="800"/>
      <c r="PRN74" s="800"/>
      <c r="PRO74" s="800"/>
      <c r="PRP74" s="705"/>
      <c r="PRQ74" s="799"/>
      <c r="PRR74" s="800"/>
      <c r="PRS74" s="800"/>
      <c r="PRT74" s="800"/>
      <c r="PRU74" s="800"/>
      <c r="PRV74" s="800"/>
      <c r="PRW74" s="705"/>
      <c r="PRX74" s="799"/>
      <c r="PRY74" s="800"/>
      <c r="PRZ74" s="800"/>
      <c r="PSA74" s="800"/>
      <c r="PSB74" s="800"/>
      <c r="PSC74" s="800"/>
      <c r="PSD74" s="705"/>
      <c r="PSE74" s="799"/>
      <c r="PSF74" s="800"/>
      <c r="PSG74" s="800"/>
      <c r="PSH74" s="800"/>
      <c r="PSI74" s="800"/>
      <c r="PSJ74" s="800"/>
      <c r="PSK74" s="705"/>
      <c r="PSL74" s="799"/>
      <c r="PSM74" s="800"/>
      <c r="PSN74" s="800"/>
      <c r="PSO74" s="800"/>
      <c r="PSP74" s="800"/>
      <c r="PSQ74" s="800"/>
      <c r="PSR74" s="705"/>
      <c r="PSS74" s="799"/>
      <c r="PST74" s="800"/>
      <c r="PSU74" s="800"/>
      <c r="PSV74" s="800"/>
      <c r="PSW74" s="800"/>
      <c r="PSX74" s="800"/>
      <c r="PSY74" s="705"/>
      <c r="PSZ74" s="799"/>
      <c r="PTA74" s="800"/>
      <c r="PTB74" s="800"/>
      <c r="PTC74" s="800"/>
      <c r="PTD74" s="800"/>
      <c r="PTE74" s="800"/>
      <c r="PTF74" s="705"/>
      <c r="PTG74" s="799"/>
      <c r="PTH74" s="800"/>
      <c r="PTI74" s="800"/>
      <c r="PTJ74" s="800"/>
      <c r="PTK74" s="800"/>
      <c r="PTL74" s="800"/>
      <c r="PTM74" s="705"/>
      <c r="PTN74" s="799"/>
      <c r="PTO74" s="800"/>
      <c r="PTP74" s="800"/>
      <c r="PTQ74" s="800"/>
      <c r="PTR74" s="800"/>
      <c r="PTS74" s="800"/>
      <c r="PTT74" s="705"/>
      <c r="PTU74" s="799"/>
      <c r="PTV74" s="800"/>
      <c r="PTW74" s="800"/>
      <c r="PTX74" s="800"/>
      <c r="PTY74" s="800"/>
      <c r="PTZ74" s="800"/>
      <c r="PUA74" s="705"/>
      <c r="PUB74" s="799"/>
      <c r="PUC74" s="800"/>
      <c r="PUD74" s="800"/>
      <c r="PUE74" s="800"/>
      <c r="PUF74" s="800"/>
      <c r="PUG74" s="800"/>
      <c r="PUH74" s="705"/>
      <c r="PUI74" s="799"/>
      <c r="PUJ74" s="800"/>
      <c r="PUK74" s="800"/>
      <c r="PUL74" s="800"/>
      <c r="PUM74" s="800"/>
      <c r="PUN74" s="800"/>
      <c r="PUO74" s="705"/>
      <c r="PUP74" s="799"/>
      <c r="PUQ74" s="800"/>
      <c r="PUR74" s="800"/>
      <c r="PUS74" s="800"/>
      <c r="PUT74" s="800"/>
      <c r="PUU74" s="800"/>
      <c r="PUV74" s="705"/>
      <c r="PUW74" s="799"/>
      <c r="PUX74" s="800"/>
      <c r="PUY74" s="800"/>
      <c r="PUZ74" s="800"/>
      <c r="PVA74" s="800"/>
      <c r="PVB74" s="800"/>
      <c r="PVC74" s="705"/>
      <c r="PVD74" s="799"/>
      <c r="PVE74" s="800"/>
      <c r="PVF74" s="800"/>
      <c r="PVG74" s="800"/>
      <c r="PVH74" s="800"/>
      <c r="PVI74" s="800"/>
      <c r="PVJ74" s="705"/>
      <c r="PVK74" s="799"/>
      <c r="PVL74" s="800"/>
      <c r="PVM74" s="800"/>
      <c r="PVN74" s="800"/>
      <c r="PVO74" s="800"/>
      <c r="PVP74" s="800"/>
      <c r="PVQ74" s="705"/>
      <c r="PVR74" s="799"/>
      <c r="PVS74" s="800"/>
      <c r="PVT74" s="800"/>
      <c r="PVU74" s="800"/>
      <c r="PVV74" s="800"/>
      <c r="PVW74" s="800"/>
      <c r="PVX74" s="705"/>
      <c r="PVY74" s="799"/>
      <c r="PVZ74" s="800"/>
      <c r="PWA74" s="800"/>
      <c r="PWB74" s="800"/>
      <c r="PWC74" s="800"/>
      <c r="PWD74" s="800"/>
      <c r="PWE74" s="705"/>
      <c r="PWF74" s="799"/>
      <c r="PWG74" s="800"/>
      <c r="PWH74" s="800"/>
      <c r="PWI74" s="800"/>
      <c r="PWJ74" s="800"/>
      <c r="PWK74" s="800"/>
      <c r="PWL74" s="705"/>
      <c r="PWM74" s="799"/>
      <c r="PWN74" s="800"/>
      <c r="PWO74" s="800"/>
      <c r="PWP74" s="800"/>
      <c r="PWQ74" s="800"/>
      <c r="PWR74" s="800"/>
      <c r="PWS74" s="705"/>
      <c r="PWT74" s="799"/>
      <c r="PWU74" s="800"/>
      <c r="PWV74" s="800"/>
      <c r="PWW74" s="800"/>
      <c r="PWX74" s="800"/>
      <c r="PWY74" s="800"/>
      <c r="PWZ74" s="705"/>
      <c r="PXA74" s="799"/>
      <c r="PXB74" s="800"/>
      <c r="PXC74" s="800"/>
      <c r="PXD74" s="800"/>
      <c r="PXE74" s="800"/>
      <c r="PXF74" s="800"/>
      <c r="PXG74" s="705"/>
      <c r="PXH74" s="799"/>
      <c r="PXI74" s="800"/>
      <c r="PXJ74" s="800"/>
      <c r="PXK74" s="800"/>
      <c r="PXL74" s="800"/>
      <c r="PXM74" s="800"/>
      <c r="PXN74" s="705"/>
      <c r="PXO74" s="799"/>
      <c r="PXP74" s="800"/>
      <c r="PXQ74" s="800"/>
      <c r="PXR74" s="800"/>
      <c r="PXS74" s="800"/>
      <c r="PXT74" s="800"/>
      <c r="PXU74" s="705"/>
      <c r="PXV74" s="799"/>
      <c r="PXW74" s="800"/>
      <c r="PXX74" s="800"/>
      <c r="PXY74" s="800"/>
      <c r="PXZ74" s="800"/>
      <c r="PYA74" s="800"/>
      <c r="PYB74" s="705"/>
      <c r="PYC74" s="799"/>
      <c r="PYD74" s="800"/>
      <c r="PYE74" s="800"/>
      <c r="PYF74" s="800"/>
      <c r="PYG74" s="800"/>
      <c r="PYH74" s="800"/>
      <c r="PYI74" s="705"/>
      <c r="PYJ74" s="799"/>
      <c r="PYK74" s="800"/>
      <c r="PYL74" s="800"/>
      <c r="PYM74" s="800"/>
      <c r="PYN74" s="800"/>
      <c r="PYO74" s="800"/>
      <c r="PYP74" s="705"/>
      <c r="PYQ74" s="799"/>
      <c r="PYR74" s="800"/>
      <c r="PYS74" s="800"/>
      <c r="PYT74" s="800"/>
      <c r="PYU74" s="800"/>
      <c r="PYV74" s="800"/>
      <c r="PYW74" s="705"/>
      <c r="PYX74" s="799"/>
      <c r="PYY74" s="800"/>
      <c r="PYZ74" s="800"/>
      <c r="PZA74" s="800"/>
      <c r="PZB74" s="800"/>
      <c r="PZC74" s="800"/>
      <c r="PZD74" s="705"/>
      <c r="PZE74" s="799"/>
      <c r="PZF74" s="800"/>
      <c r="PZG74" s="800"/>
      <c r="PZH74" s="800"/>
      <c r="PZI74" s="800"/>
      <c r="PZJ74" s="800"/>
      <c r="PZK74" s="705"/>
      <c r="PZL74" s="799"/>
      <c r="PZM74" s="800"/>
      <c r="PZN74" s="800"/>
      <c r="PZO74" s="800"/>
      <c r="PZP74" s="800"/>
      <c r="PZQ74" s="800"/>
      <c r="PZR74" s="705"/>
      <c r="PZS74" s="799"/>
      <c r="PZT74" s="800"/>
      <c r="PZU74" s="800"/>
      <c r="PZV74" s="800"/>
      <c r="PZW74" s="800"/>
      <c r="PZX74" s="800"/>
      <c r="PZY74" s="705"/>
      <c r="PZZ74" s="799"/>
      <c r="QAA74" s="800"/>
      <c r="QAB74" s="800"/>
      <c r="QAC74" s="800"/>
      <c r="QAD74" s="800"/>
      <c r="QAE74" s="800"/>
      <c r="QAF74" s="705"/>
      <c r="QAG74" s="799"/>
      <c r="QAH74" s="800"/>
      <c r="QAI74" s="800"/>
      <c r="QAJ74" s="800"/>
      <c r="QAK74" s="800"/>
      <c r="QAL74" s="800"/>
      <c r="QAM74" s="705"/>
      <c r="QAN74" s="799"/>
      <c r="QAO74" s="800"/>
      <c r="QAP74" s="800"/>
      <c r="QAQ74" s="800"/>
      <c r="QAR74" s="800"/>
      <c r="QAS74" s="800"/>
      <c r="QAT74" s="705"/>
      <c r="QAU74" s="799"/>
      <c r="QAV74" s="800"/>
      <c r="QAW74" s="800"/>
      <c r="QAX74" s="800"/>
      <c r="QAY74" s="800"/>
      <c r="QAZ74" s="800"/>
      <c r="QBA74" s="705"/>
      <c r="QBB74" s="799"/>
      <c r="QBC74" s="800"/>
      <c r="QBD74" s="800"/>
      <c r="QBE74" s="800"/>
      <c r="QBF74" s="800"/>
      <c r="QBG74" s="800"/>
      <c r="QBH74" s="705"/>
      <c r="QBI74" s="799"/>
      <c r="QBJ74" s="800"/>
      <c r="QBK74" s="800"/>
      <c r="QBL74" s="800"/>
      <c r="QBM74" s="800"/>
      <c r="QBN74" s="800"/>
      <c r="QBO74" s="705"/>
      <c r="QBP74" s="799"/>
      <c r="QBQ74" s="800"/>
      <c r="QBR74" s="800"/>
      <c r="QBS74" s="800"/>
      <c r="QBT74" s="800"/>
      <c r="QBU74" s="800"/>
      <c r="QBV74" s="705"/>
      <c r="QBW74" s="799"/>
      <c r="QBX74" s="800"/>
      <c r="QBY74" s="800"/>
      <c r="QBZ74" s="800"/>
      <c r="QCA74" s="800"/>
      <c r="QCB74" s="800"/>
      <c r="QCC74" s="705"/>
      <c r="QCD74" s="799"/>
      <c r="QCE74" s="800"/>
      <c r="QCF74" s="800"/>
      <c r="QCG74" s="800"/>
      <c r="QCH74" s="800"/>
      <c r="QCI74" s="800"/>
      <c r="QCJ74" s="705"/>
      <c r="QCK74" s="799"/>
      <c r="QCL74" s="800"/>
      <c r="QCM74" s="800"/>
      <c r="QCN74" s="800"/>
      <c r="QCO74" s="800"/>
      <c r="QCP74" s="800"/>
      <c r="QCQ74" s="705"/>
      <c r="QCR74" s="799"/>
      <c r="QCS74" s="800"/>
      <c r="QCT74" s="800"/>
      <c r="QCU74" s="800"/>
      <c r="QCV74" s="800"/>
      <c r="QCW74" s="800"/>
      <c r="QCX74" s="705"/>
      <c r="QCY74" s="799"/>
      <c r="QCZ74" s="800"/>
      <c r="QDA74" s="800"/>
      <c r="QDB74" s="800"/>
      <c r="QDC74" s="800"/>
      <c r="QDD74" s="800"/>
      <c r="QDE74" s="705"/>
      <c r="QDF74" s="799"/>
      <c r="QDG74" s="800"/>
      <c r="QDH74" s="800"/>
      <c r="QDI74" s="800"/>
      <c r="QDJ74" s="800"/>
      <c r="QDK74" s="800"/>
      <c r="QDL74" s="705"/>
      <c r="QDM74" s="799"/>
      <c r="QDN74" s="800"/>
      <c r="QDO74" s="800"/>
      <c r="QDP74" s="800"/>
      <c r="QDQ74" s="800"/>
      <c r="QDR74" s="800"/>
      <c r="QDS74" s="705"/>
      <c r="QDT74" s="799"/>
      <c r="QDU74" s="800"/>
      <c r="QDV74" s="800"/>
      <c r="QDW74" s="800"/>
      <c r="QDX74" s="800"/>
      <c r="QDY74" s="800"/>
      <c r="QDZ74" s="705"/>
      <c r="QEA74" s="799"/>
      <c r="QEB74" s="800"/>
      <c r="QEC74" s="800"/>
      <c r="QED74" s="800"/>
      <c r="QEE74" s="800"/>
      <c r="QEF74" s="800"/>
      <c r="QEG74" s="705"/>
      <c r="QEH74" s="799"/>
      <c r="QEI74" s="800"/>
      <c r="QEJ74" s="800"/>
      <c r="QEK74" s="800"/>
      <c r="QEL74" s="800"/>
      <c r="QEM74" s="800"/>
      <c r="QEN74" s="705"/>
      <c r="QEO74" s="799"/>
      <c r="QEP74" s="800"/>
      <c r="QEQ74" s="800"/>
      <c r="QER74" s="800"/>
      <c r="QES74" s="800"/>
      <c r="QET74" s="800"/>
      <c r="QEU74" s="705"/>
      <c r="QEV74" s="799"/>
      <c r="QEW74" s="800"/>
      <c r="QEX74" s="800"/>
      <c r="QEY74" s="800"/>
      <c r="QEZ74" s="800"/>
      <c r="QFA74" s="800"/>
      <c r="QFB74" s="705"/>
      <c r="QFC74" s="799"/>
      <c r="QFD74" s="800"/>
      <c r="QFE74" s="800"/>
      <c r="QFF74" s="800"/>
      <c r="QFG74" s="800"/>
      <c r="QFH74" s="800"/>
      <c r="QFI74" s="705"/>
      <c r="QFJ74" s="799"/>
      <c r="QFK74" s="800"/>
      <c r="QFL74" s="800"/>
      <c r="QFM74" s="800"/>
      <c r="QFN74" s="800"/>
      <c r="QFO74" s="800"/>
      <c r="QFP74" s="705"/>
      <c r="QFQ74" s="799"/>
      <c r="QFR74" s="800"/>
      <c r="QFS74" s="800"/>
      <c r="QFT74" s="800"/>
      <c r="QFU74" s="800"/>
      <c r="QFV74" s="800"/>
      <c r="QFW74" s="705"/>
      <c r="QFX74" s="799"/>
      <c r="QFY74" s="800"/>
      <c r="QFZ74" s="800"/>
      <c r="QGA74" s="800"/>
      <c r="QGB74" s="800"/>
      <c r="QGC74" s="800"/>
      <c r="QGD74" s="705"/>
      <c r="QGE74" s="799"/>
      <c r="QGF74" s="800"/>
      <c r="QGG74" s="800"/>
      <c r="QGH74" s="800"/>
      <c r="QGI74" s="800"/>
      <c r="QGJ74" s="800"/>
      <c r="QGK74" s="705"/>
      <c r="QGL74" s="799"/>
      <c r="QGM74" s="800"/>
      <c r="QGN74" s="800"/>
      <c r="QGO74" s="800"/>
      <c r="QGP74" s="800"/>
      <c r="QGQ74" s="800"/>
      <c r="QGR74" s="705"/>
      <c r="QGS74" s="799"/>
      <c r="QGT74" s="800"/>
      <c r="QGU74" s="800"/>
      <c r="QGV74" s="800"/>
      <c r="QGW74" s="800"/>
      <c r="QGX74" s="800"/>
      <c r="QGY74" s="705"/>
      <c r="QGZ74" s="799"/>
      <c r="QHA74" s="800"/>
      <c r="QHB74" s="800"/>
      <c r="QHC74" s="800"/>
      <c r="QHD74" s="800"/>
      <c r="QHE74" s="800"/>
      <c r="QHF74" s="705"/>
      <c r="QHG74" s="799"/>
      <c r="QHH74" s="800"/>
      <c r="QHI74" s="800"/>
      <c r="QHJ74" s="800"/>
      <c r="QHK74" s="800"/>
      <c r="QHL74" s="800"/>
      <c r="QHM74" s="705"/>
      <c r="QHN74" s="799"/>
      <c r="QHO74" s="800"/>
      <c r="QHP74" s="800"/>
      <c r="QHQ74" s="800"/>
      <c r="QHR74" s="800"/>
      <c r="QHS74" s="800"/>
      <c r="QHT74" s="705"/>
      <c r="QHU74" s="799"/>
      <c r="QHV74" s="800"/>
      <c r="QHW74" s="800"/>
      <c r="QHX74" s="800"/>
      <c r="QHY74" s="800"/>
      <c r="QHZ74" s="800"/>
      <c r="QIA74" s="705"/>
      <c r="QIB74" s="799"/>
      <c r="QIC74" s="800"/>
      <c r="QID74" s="800"/>
      <c r="QIE74" s="800"/>
      <c r="QIF74" s="800"/>
      <c r="QIG74" s="800"/>
      <c r="QIH74" s="705"/>
      <c r="QII74" s="799"/>
      <c r="QIJ74" s="800"/>
      <c r="QIK74" s="800"/>
      <c r="QIL74" s="800"/>
      <c r="QIM74" s="800"/>
      <c r="QIN74" s="800"/>
      <c r="QIO74" s="705"/>
      <c r="QIP74" s="799"/>
      <c r="QIQ74" s="800"/>
      <c r="QIR74" s="800"/>
      <c r="QIS74" s="800"/>
      <c r="QIT74" s="800"/>
      <c r="QIU74" s="800"/>
      <c r="QIV74" s="705"/>
      <c r="QIW74" s="799"/>
      <c r="QIX74" s="800"/>
      <c r="QIY74" s="800"/>
      <c r="QIZ74" s="800"/>
      <c r="QJA74" s="800"/>
      <c r="QJB74" s="800"/>
      <c r="QJC74" s="705"/>
      <c r="QJD74" s="799"/>
      <c r="QJE74" s="800"/>
      <c r="QJF74" s="800"/>
      <c r="QJG74" s="800"/>
      <c r="QJH74" s="800"/>
      <c r="QJI74" s="800"/>
      <c r="QJJ74" s="705"/>
      <c r="QJK74" s="799"/>
      <c r="QJL74" s="800"/>
      <c r="QJM74" s="800"/>
      <c r="QJN74" s="800"/>
      <c r="QJO74" s="800"/>
      <c r="QJP74" s="800"/>
      <c r="QJQ74" s="705"/>
      <c r="QJR74" s="799"/>
      <c r="QJS74" s="800"/>
      <c r="QJT74" s="800"/>
      <c r="QJU74" s="800"/>
      <c r="QJV74" s="800"/>
      <c r="QJW74" s="800"/>
      <c r="QJX74" s="705"/>
      <c r="QJY74" s="799"/>
      <c r="QJZ74" s="800"/>
      <c r="QKA74" s="800"/>
      <c r="QKB74" s="800"/>
      <c r="QKC74" s="800"/>
      <c r="QKD74" s="800"/>
      <c r="QKE74" s="705"/>
      <c r="QKF74" s="799"/>
      <c r="QKG74" s="800"/>
      <c r="QKH74" s="800"/>
      <c r="QKI74" s="800"/>
      <c r="QKJ74" s="800"/>
      <c r="QKK74" s="800"/>
      <c r="QKL74" s="705"/>
      <c r="QKM74" s="799"/>
      <c r="QKN74" s="800"/>
      <c r="QKO74" s="800"/>
      <c r="QKP74" s="800"/>
      <c r="QKQ74" s="800"/>
      <c r="QKR74" s="800"/>
      <c r="QKS74" s="705"/>
      <c r="QKT74" s="799"/>
      <c r="QKU74" s="800"/>
      <c r="QKV74" s="800"/>
      <c r="QKW74" s="800"/>
      <c r="QKX74" s="800"/>
      <c r="QKY74" s="800"/>
      <c r="QKZ74" s="705"/>
      <c r="QLA74" s="799"/>
      <c r="QLB74" s="800"/>
      <c r="QLC74" s="800"/>
      <c r="QLD74" s="800"/>
      <c r="QLE74" s="800"/>
      <c r="QLF74" s="800"/>
      <c r="QLG74" s="705"/>
      <c r="QLH74" s="799"/>
      <c r="QLI74" s="800"/>
      <c r="QLJ74" s="800"/>
      <c r="QLK74" s="800"/>
      <c r="QLL74" s="800"/>
      <c r="QLM74" s="800"/>
      <c r="QLN74" s="705"/>
      <c r="QLO74" s="799"/>
      <c r="QLP74" s="800"/>
      <c r="QLQ74" s="800"/>
      <c r="QLR74" s="800"/>
      <c r="QLS74" s="800"/>
      <c r="QLT74" s="800"/>
      <c r="QLU74" s="705"/>
      <c r="QLV74" s="799"/>
      <c r="QLW74" s="800"/>
      <c r="QLX74" s="800"/>
      <c r="QLY74" s="800"/>
      <c r="QLZ74" s="800"/>
      <c r="QMA74" s="800"/>
      <c r="QMB74" s="705"/>
      <c r="QMC74" s="799"/>
      <c r="QMD74" s="800"/>
      <c r="QME74" s="800"/>
      <c r="QMF74" s="800"/>
      <c r="QMG74" s="800"/>
      <c r="QMH74" s="800"/>
      <c r="QMI74" s="705"/>
      <c r="QMJ74" s="799"/>
      <c r="QMK74" s="800"/>
      <c r="QML74" s="800"/>
      <c r="QMM74" s="800"/>
      <c r="QMN74" s="800"/>
      <c r="QMO74" s="800"/>
      <c r="QMP74" s="705"/>
      <c r="QMQ74" s="799"/>
      <c r="QMR74" s="800"/>
      <c r="QMS74" s="800"/>
      <c r="QMT74" s="800"/>
      <c r="QMU74" s="800"/>
      <c r="QMV74" s="800"/>
      <c r="QMW74" s="705"/>
      <c r="QMX74" s="799"/>
      <c r="QMY74" s="800"/>
      <c r="QMZ74" s="800"/>
      <c r="QNA74" s="800"/>
      <c r="QNB74" s="800"/>
      <c r="QNC74" s="800"/>
      <c r="QND74" s="705"/>
      <c r="QNE74" s="799"/>
      <c r="QNF74" s="800"/>
      <c r="QNG74" s="800"/>
      <c r="QNH74" s="800"/>
      <c r="QNI74" s="800"/>
      <c r="QNJ74" s="800"/>
      <c r="QNK74" s="705"/>
      <c r="QNL74" s="799"/>
      <c r="QNM74" s="800"/>
      <c r="QNN74" s="800"/>
      <c r="QNO74" s="800"/>
      <c r="QNP74" s="800"/>
      <c r="QNQ74" s="800"/>
      <c r="QNR74" s="705"/>
      <c r="QNS74" s="799"/>
      <c r="QNT74" s="800"/>
      <c r="QNU74" s="800"/>
      <c r="QNV74" s="800"/>
      <c r="QNW74" s="800"/>
      <c r="QNX74" s="800"/>
      <c r="QNY74" s="705"/>
      <c r="QNZ74" s="799"/>
      <c r="QOA74" s="800"/>
      <c r="QOB74" s="800"/>
      <c r="QOC74" s="800"/>
      <c r="QOD74" s="800"/>
      <c r="QOE74" s="800"/>
      <c r="QOF74" s="705"/>
      <c r="QOG74" s="799"/>
      <c r="QOH74" s="800"/>
      <c r="QOI74" s="800"/>
      <c r="QOJ74" s="800"/>
      <c r="QOK74" s="800"/>
      <c r="QOL74" s="800"/>
      <c r="QOM74" s="705"/>
      <c r="QON74" s="799"/>
      <c r="QOO74" s="800"/>
      <c r="QOP74" s="800"/>
      <c r="QOQ74" s="800"/>
      <c r="QOR74" s="800"/>
      <c r="QOS74" s="800"/>
      <c r="QOT74" s="705"/>
      <c r="QOU74" s="799"/>
      <c r="QOV74" s="800"/>
      <c r="QOW74" s="800"/>
      <c r="QOX74" s="800"/>
      <c r="QOY74" s="800"/>
      <c r="QOZ74" s="800"/>
      <c r="QPA74" s="705"/>
      <c r="QPB74" s="799"/>
      <c r="QPC74" s="800"/>
      <c r="QPD74" s="800"/>
      <c r="QPE74" s="800"/>
      <c r="QPF74" s="800"/>
      <c r="QPG74" s="800"/>
      <c r="QPH74" s="705"/>
      <c r="QPI74" s="799"/>
      <c r="QPJ74" s="800"/>
      <c r="QPK74" s="800"/>
      <c r="QPL74" s="800"/>
      <c r="QPM74" s="800"/>
      <c r="QPN74" s="800"/>
      <c r="QPO74" s="705"/>
      <c r="QPP74" s="799"/>
      <c r="QPQ74" s="800"/>
      <c r="QPR74" s="800"/>
      <c r="QPS74" s="800"/>
      <c r="QPT74" s="800"/>
      <c r="QPU74" s="800"/>
      <c r="QPV74" s="705"/>
      <c r="QPW74" s="799"/>
      <c r="QPX74" s="800"/>
      <c r="QPY74" s="800"/>
      <c r="QPZ74" s="800"/>
      <c r="QQA74" s="800"/>
      <c r="QQB74" s="800"/>
      <c r="QQC74" s="705"/>
      <c r="QQD74" s="799"/>
      <c r="QQE74" s="800"/>
      <c r="QQF74" s="800"/>
      <c r="QQG74" s="800"/>
      <c r="QQH74" s="800"/>
      <c r="QQI74" s="800"/>
      <c r="QQJ74" s="705"/>
      <c r="QQK74" s="799"/>
      <c r="QQL74" s="800"/>
      <c r="QQM74" s="800"/>
      <c r="QQN74" s="800"/>
      <c r="QQO74" s="800"/>
      <c r="QQP74" s="800"/>
      <c r="QQQ74" s="705"/>
      <c r="QQR74" s="799"/>
      <c r="QQS74" s="800"/>
      <c r="QQT74" s="800"/>
      <c r="QQU74" s="800"/>
      <c r="QQV74" s="800"/>
      <c r="QQW74" s="800"/>
      <c r="QQX74" s="705"/>
      <c r="QQY74" s="799"/>
      <c r="QQZ74" s="800"/>
      <c r="QRA74" s="800"/>
      <c r="QRB74" s="800"/>
      <c r="QRC74" s="800"/>
      <c r="QRD74" s="800"/>
      <c r="QRE74" s="705"/>
      <c r="QRF74" s="799"/>
      <c r="QRG74" s="800"/>
      <c r="QRH74" s="800"/>
      <c r="QRI74" s="800"/>
      <c r="QRJ74" s="800"/>
      <c r="QRK74" s="800"/>
      <c r="QRL74" s="705"/>
      <c r="QRM74" s="799"/>
      <c r="QRN74" s="800"/>
      <c r="QRO74" s="800"/>
      <c r="QRP74" s="800"/>
      <c r="QRQ74" s="800"/>
      <c r="QRR74" s="800"/>
      <c r="QRS74" s="705"/>
      <c r="QRT74" s="799"/>
      <c r="QRU74" s="800"/>
      <c r="QRV74" s="800"/>
      <c r="QRW74" s="800"/>
      <c r="QRX74" s="800"/>
      <c r="QRY74" s="800"/>
      <c r="QRZ74" s="705"/>
      <c r="QSA74" s="799"/>
      <c r="QSB74" s="800"/>
      <c r="QSC74" s="800"/>
      <c r="QSD74" s="800"/>
      <c r="QSE74" s="800"/>
      <c r="QSF74" s="800"/>
      <c r="QSG74" s="705"/>
      <c r="QSH74" s="799"/>
      <c r="QSI74" s="800"/>
      <c r="QSJ74" s="800"/>
      <c r="QSK74" s="800"/>
      <c r="QSL74" s="800"/>
      <c r="QSM74" s="800"/>
      <c r="QSN74" s="705"/>
      <c r="QSO74" s="799"/>
      <c r="QSP74" s="800"/>
      <c r="QSQ74" s="800"/>
      <c r="QSR74" s="800"/>
      <c r="QSS74" s="800"/>
      <c r="QST74" s="800"/>
      <c r="QSU74" s="705"/>
      <c r="QSV74" s="799"/>
      <c r="QSW74" s="800"/>
      <c r="QSX74" s="800"/>
      <c r="QSY74" s="800"/>
      <c r="QSZ74" s="800"/>
      <c r="QTA74" s="800"/>
      <c r="QTB74" s="705"/>
      <c r="QTC74" s="799"/>
      <c r="QTD74" s="800"/>
      <c r="QTE74" s="800"/>
      <c r="QTF74" s="800"/>
      <c r="QTG74" s="800"/>
      <c r="QTH74" s="800"/>
      <c r="QTI74" s="705"/>
      <c r="QTJ74" s="799"/>
      <c r="QTK74" s="800"/>
      <c r="QTL74" s="800"/>
      <c r="QTM74" s="800"/>
      <c r="QTN74" s="800"/>
      <c r="QTO74" s="800"/>
      <c r="QTP74" s="705"/>
      <c r="QTQ74" s="799"/>
      <c r="QTR74" s="800"/>
      <c r="QTS74" s="800"/>
      <c r="QTT74" s="800"/>
      <c r="QTU74" s="800"/>
      <c r="QTV74" s="800"/>
      <c r="QTW74" s="705"/>
      <c r="QTX74" s="799"/>
      <c r="QTY74" s="800"/>
      <c r="QTZ74" s="800"/>
      <c r="QUA74" s="800"/>
      <c r="QUB74" s="800"/>
      <c r="QUC74" s="800"/>
      <c r="QUD74" s="705"/>
      <c r="QUE74" s="799"/>
      <c r="QUF74" s="800"/>
      <c r="QUG74" s="800"/>
      <c r="QUH74" s="800"/>
      <c r="QUI74" s="800"/>
      <c r="QUJ74" s="800"/>
      <c r="QUK74" s="705"/>
      <c r="QUL74" s="799"/>
      <c r="QUM74" s="800"/>
      <c r="QUN74" s="800"/>
      <c r="QUO74" s="800"/>
      <c r="QUP74" s="800"/>
      <c r="QUQ74" s="800"/>
      <c r="QUR74" s="705"/>
      <c r="QUS74" s="799"/>
      <c r="QUT74" s="800"/>
      <c r="QUU74" s="800"/>
      <c r="QUV74" s="800"/>
      <c r="QUW74" s="800"/>
      <c r="QUX74" s="800"/>
      <c r="QUY74" s="705"/>
      <c r="QUZ74" s="799"/>
      <c r="QVA74" s="800"/>
      <c r="QVB74" s="800"/>
      <c r="QVC74" s="800"/>
      <c r="QVD74" s="800"/>
      <c r="QVE74" s="800"/>
      <c r="QVF74" s="705"/>
      <c r="QVG74" s="799"/>
      <c r="QVH74" s="800"/>
      <c r="QVI74" s="800"/>
      <c r="QVJ74" s="800"/>
      <c r="QVK74" s="800"/>
      <c r="QVL74" s="800"/>
      <c r="QVM74" s="705"/>
      <c r="QVN74" s="799"/>
      <c r="QVO74" s="800"/>
      <c r="QVP74" s="800"/>
      <c r="QVQ74" s="800"/>
      <c r="QVR74" s="800"/>
      <c r="QVS74" s="800"/>
      <c r="QVT74" s="705"/>
      <c r="QVU74" s="799"/>
      <c r="QVV74" s="800"/>
      <c r="QVW74" s="800"/>
      <c r="QVX74" s="800"/>
      <c r="QVY74" s="800"/>
      <c r="QVZ74" s="800"/>
      <c r="QWA74" s="705"/>
      <c r="QWB74" s="799"/>
      <c r="QWC74" s="800"/>
      <c r="QWD74" s="800"/>
      <c r="QWE74" s="800"/>
      <c r="QWF74" s="800"/>
      <c r="QWG74" s="800"/>
      <c r="QWH74" s="705"/>
      <c r="QWI74" s="799"/>
      <c r="QWJ74" s="800"/>
      <c r="QWK74" s="800"/>
      <c r="QWL74" s="800"/>
      <c r="QWM74" s="800"/>
      <c r="QWN74" s="800"/>
      <c r="QWO74" s="705"/>
      <c r="QWP74" s="799"/>
      <c r="QWQ74" s="800"/>
      <c r="QWR74" s="800"/>
      <c r="QWS74" s="800"/>
      <c r="QWT74" s="800"/>
      <c r="QWU74" s="800"/>
      <c r="QWV74" s="705"/>
      <c r="QWW74" s="799"/>
      <c r="QWX74" s="800"/>
      <c r="QWY74" s="800"/>
      <c r="QWZ74" s="800"/>
      <c r="QXA74" s="800"/>
      <c r="QXB74" s="800"/>
      <c r="QXC74" s="705"/>
      <c r="QXD74" s="799"/>
      <c r="QXE74" s="800"/>
      <c r="QXF74" s="800"/>
      <c r="QXG74" s="800"/>
      <c r="QXH74" s="800"/>
      <c r="QXI74" s="800"/>
      <c r="QXJ74" s="705"/>
      <c r="QXK74" s="799"/>
      <c r="QXL74" s="800"/>
      <c r="QXM74" s="800"/>
      <c r="QXN74" s="800"/>
      <c r="QXO74" s="800"/>
      <c r="QXP74" s="800"/>
      <c r="QXQ74" s="705"/>
      <c r="QXR74" s="799"/>
      <c r="QXS74" s="800"/>
      <c r="QXT74" s="800"/>
      <c r="QXU74" s="800"/>
      <c r="QXV74" s="800"/>
      <c r="QXW74" s="800"/>
      <c r="QXX74" s="705"/>
      <c r="QXY74" s="799"/>
      <c r="QXZ74" s="800"/>
      <c r="QYA74" s="800"/>
      <c r="QYB74" s="800"/>
      <c r="QYC74" s="800"/>
      <c r="QYD74" s="800"/>
      <c r="QYE74" s="705"/>
      <c r="QYF74" s="799"/>
      <c r="QYG74" s="800"/>
      <c r="QYH74" s="800"/>
      <c r="QYI74" s="800"/>
      <c r="QYJ74" s="800"/>
      <c r="QYK74" s="800"/>
      <c r="QYL74" s="705"/>
      <c r="QYM74" s="799"/>
      <c r="QYN74" s="800"/>
      <c r="QYO74" s="800"/>
      <c r="QYP74" s="800"/>
      <c r="QYQ74" s="800"/>
      <c r="QYR74" s="800"/>
      <c r="QYS74" s="705"/>
      <c r="QYT74" s="799"/>
      <c r="QYU74" s="800"/>
      <c r="QYV74" s="800"/>
      <c r="QYW74" s="800"/>
      <c r="QYX74" s="800"/>
      <c r="QYY74" s="800"/>
      <c r="QYZ74" s="705"/>
      <c r="QZA74" s="799"/>
      <c r="QZB74" s="800"/>
      <c r="QZC74" s="800"/>
      <c r="QZD74" s="800"/>
      <c r="QZE74" s="800"/>
      <c r="QZF74" s="800"/>
      <c r="QZG74" s="705"/>
      <c r="QZH74" s="799"/>
      <c r="QZI74" s="800"/>
      <c r="QZJ74" s="800"/>
      <c r="QZK74" s="800"/>
      <c r="QZL74" s="800"/>
      <c r="QZM74" s="800"/>
      <c r="QZN74" s="705"/>
      <c r="QZO74" s="799"/>
      <c r="QZP74" s="800"/>
      <c r="QZQ74" s="800"/>
      <c r="QZR74" s="800"/>
      <c r="QZS74" s="800"/>
      <c r="QZT74" s="800"/>
      <c r="QZU74" s="705"/>
      <c r="QZV74" s="799"/>
      <c r="QZW74" s="800"/>
      <c r="QZX74" s="800"/>
      <c r="QZY74" s="800"/>
      <c r="QZZ74" s="800"/>
      <c r="RAA74" s="800"/>
      <c r="RAB74" s="705"/>
      <c r="RAC74" s="799"/>
      <c r="RAD74" s="800"/>
      <c r="RAE74" s="800"/>
      <c r="RAF74" s="800"/>
      <c r="RAG74" s="800"/>
      <c r="RAH74" s="800"/>
      <c r="RAI74" s="705"/>
      <c r="RAJ74" s="799"/>
      <c r="RAK74" s="800"/>
      <c r="RAL74" s="800"/>
      <c r="RAM74" s="800"/>
      <c r="RAN74" s="800"/>
      <c r="RAO74" s="800"/>
      <c r="RAP74" s="705"/>
      <c r="RAQ74" s="799"/>
      <c r="RAR74" s="800"/>
      <c r="RAS74" s="800"/>
      <c r="RAT74" s="800"/>
      <c r="RAU74" s="800"/>
      <c r="RAV74" s="800"/>
      <c r="RAW74" s="705"/>
      <c r="RAX74" s="799"/>
      <c r="RAY74" s="800"/>
      <c r="RAZ74" s="800"/>
      <c r="RBA74" s="800"/>
      <c r="RBB74" s="800"/>
      <c r="RBC74" s="800"/>
      <c r="RBD74" s="705"/>
      <c r="RBE74" s="799"/>
      <c r="RBF74" s="800"/>
      <c r="RBG74" s="800"/>
      <c r="RBH74" s="800"/>
      <c r="RBI74" s="800"/>
      <c r="RBJ74" s="800"/>
      <c r="RBK74" s="705"/>
      <c r="RBL74" s="799"/>
      <c r="RBM74" s="800"/>
      <c r="RBN74" s="800"/>
      <c r="RBO74" s="800"/>
      <c r="RBP74" s="800"/>
      <c r="RBQ74" s="800"/>
      <c r="RBR74" s="705"/>
      <c r="RBS74" s="799"/>
      <c r="RBT74" s="800"/>
      <c r="RBU74" s="800"/>
      <c r="RBV74" s="800"/>
      <c r="RBW74" s="800"/>
      <c r="RBX74" s="800"/>
      <c r="RBY74" s="705"/>
      <c r="RBZ74" s="799"/>
      <c r="RCA74" s="800"/>
      <c r="RCB74" s="800"/>
      <c r="RCC74" s="800"/>
      <c r="RCD74" s="800"/>
      <c r="RCE74" s="800"/>
      <c r="RCF74" s="705"/>
      <c r="RCG74" s="799"/>
      <c r="RCH74" s="800"/>
      <c r="RCI74" s="800"/>
      <c r="RCJ74" s="800"/>
      <c r="RCK74" s="800"/>
      <c r="RCL74" s="800"/>
      <c r="RCM74" s="705"/>
      <c r="RCN74" s="799"/>
      <c r="RCO74" s="800"/>
      <c r="RCP74" s="800"/>
      <c r="RCQ74" s="800"/>
      <c r="RCR74" s="800"/>
      <c r="RCS74" s="800"/>
      <c r="RCT74" s="705"/>
      <c r="RCU74" s="799"/>
      <c r="RCV74" s="800"/>
      <c r="RCW74" s="800"/>
      <c r="RCX74" s="800"/>
      <c r="RCY74" s="800"/>
      <c r="RCZ74" s="800"/>
      <c r="RDA74" s="705"/>
      <c r="RDB74" s="799"/>
      <c r="RDC74" s="800"/>
      <c r="RDD74" s="800"/>
      <c r="RDE74" s="800"/>
      <c r="RDF74" s="800"/>
      <c r="RDG74" s="800"/>
      <c r="RDH74" s="705"/>
      <c r="RDI74" s="799"/>
      <c r="RDJ74" s="800"/>
      <c r="RDK74" s="800"/>
      <c r="RDL74" s="800"/>
      <c r="RDM74" s="800"/>
      <c r="RDN74" s="800"/>
      <c r="RDO74" s="705"/>
      <c r="RDP74" s="799"/>
      <c r="RDQ74" s="800"/>
      <c r="RDR74" s="800"/>
      <c r="RDS74" s="800"/>
      <c r="RDT74" s="800"/>
      <c r="RDU74" s="800"/>
      <c r="RDV74" s="705"/>
      <c r="RDW74" s="799"/>
      <c r="RDX74" s="800"/>
      <c r="RDY74" s="800"/>
      <c r="RDZ74" s="800"/>
      <c r="REA74" s="800"/>
      <c r="REB74" s="800"/>
      <c r="REC74" s="705"/>
      <c r="RED74" s="799"/>
      <c r="REE74" s="800"/>
      <c r="REF74" s="800"/>
      <c r="REG74" s="800"/>
      <c r="REH74" s="800"/>
      <c r="REI74" s="800"/>
      <c r="REJ74" s="705"/>
      <c r="REK74" s="799"/>
      <c r="REL74" s="800"/>
      <c r="REM74" s="800"/>
      <c r="REN74" s="800"/>
      <c r="REO74" s="800"/>
      <c r="REP74" s="800"/>
      <c r="REQ74" s="705"/>
      <c r="RER74" s="799"/>
      <c r="RES74" s="800"/>
      <c r="RET74" s="800"/>
      <c r="REU74" s="800"/>
      <c r="REV74" s="800"/>
      <c r="REW74" s="800"/>
      <c r="REX74" s="705"/>
      <c r="REY74" s="799"/>
      <c r="REZ74" s="800"/>
      <c r="RFA74" s="800"/>
      <c r="RFB74" s="800"/>
      <c r="RFC74" s="800"/>
      <c r="RFD74" s="800"/>
      <c r="RFE74" s="705"/>
      <c r="RFF74" s="799"/>
      <c r="RFG74" s="800"/>
      <c r="RFH74" s="800"/>
      <c r="RFI74" s="800"/>
      <c r="RFJ74" s="800"/>
      <c r="RFK74" s="800"/>
      <c r="RFL74" s="705"/>
      <c r="RFM74" s="799"/>
      <c r="RFN74" s="800"/>
      <c r="RFO74" s="800"/>
      <c r="RFP74" s="800"/>
      <c r="RFQ74" s="800"/>
      <c r="RFR74" s="800"/>
      <c r="RFS74" s="705"/>
      <c r="RFT74" s="799"/>
      <c r="RFU74" s="800"/>
      <c r="RFV74" s="800"/>
      <c r="RFW74" s="800"/>
      <c r="RFX74" s="800"/>
      <c r="RFY74" s="800"/>
      <c r="RFZ74" s="705"/>
      <c r="RGA74" s="799"/>
      <c r="RGB74" s="800"/>
      <c r="RGC74" s="800"/>
      <c r="RGD74" s="800"/>
      <c r="RGE74" s="800"/>
      <c r="RGF74" s="800"/>
      <c r="RGG74" s="705"/>
      <c r="RGH74" s="799"/>
      <c r="RGI74" s="800"/>
      <c r="RGJ74" s="800"/>
      <c r="RGK74" s="800"/>
      <c r="RGL74" s="800"/>
      <c r="RGM74" s="800"/>
      <c r="RGN74" s="705"/>
      <c r="RGO74" s="799"/>
      <c r="RGP74" s="800"/>
      <c r="RGQ74" s="800"/>
      <c r="RGR74" s="800"/>
      <c r="RGS74" s="800"/>
      <c r="RGT74" s="800"/>
      <c r="RGU74" s="705"/>
      <c r="RGV74" s="799"/>
      <c r="RGW74" s="800"/>
      <c r="RGX74" s="800"/>
      <c r="RGY74" s="800"/>
      <c r="RGZ74" s="800"/>
      <c r="RHA74" s="800"/>
      <c r="RHB74" s="705"/>
      <c r="RHC74" s="799"/>
      <c r="RHD74" s="800"/>
      <c r="RHE74" s="800"/>
      <c r="RHF74" s="800"/>
      <c r="RHG74" s="800"/>
      <c r="RHH74" s="800"/>
      <c r="RHI74" s="705"/>
      <c r="RHJ74" s="799"/>
      <c r="RHK74" s="800"/>
      <c r="RHL74" s="800"/>
      <c r="RHM74" s="800"/>
      <c r="RHN74" s="800"/>
      <c r="RHO74" s="800"/>
      <c r="RHP74" s="705"/>
      <c r="RHQ74" s="799"/>
      <c r="RHR74" s="800"/>
      <c r="RHS74" s="800"/>
      <c r="RHT74" s="800"/>
      <c r="RHU74" s="800"/>
      <c r="RHV74" s="800"/>
      <c r="RHW74" s="705"/>
      <c r="RHX74" s="799"/>
      <c r="RHY74" s="800"/>
      <c r="RHZ74" s="800"/>
      <c r="RIA74" s="800"/>
      <c r="RIB74" s="800"/>
      <c r="RIC74" s="800"/>
      <c r="RID74" s="705"/>
      <c r="RIE74" s="799"/>
      <c r="RIF74" s="800"/>
      <c r="RIG74" s="800"/>
      <c r="RIH74" s="800"/>
      <c r="RII74" s="800"/>
      <c r="RIJ74" s="800"/>
      <c r="RIK74" s="705"/>
      <c r="RIL74" s="799"/>
      <c r="RIM74" s="800"/>
      <c r="RIN74" s="800"/>
      <c r="RIO74" s="800"/>
      <c r="RIP74" s="800"/>
      <c r="RIQ74" s="800"/>
      <c r="RIR74" s="705"/>
      <c r="RIS74" s="799"/>
      <c r="RIT74" s="800"/>
      <c r="RIU74" s="800"/>
      <c r="RIV74" s="800"/>
      <c r="RIW74" s="800"/>
      <c r="RIX74" s="800"/>
      <c r="RIY74" s="705"/>
      <c r="RIZ74" s="799"/>
      <c r="RJA74" s="800"/>
      <c r="RJB74" s="800"/>
      <c r="RJC74" s="800"/>
      <c r="RJD74" s="800"/>
      <c r="RJE74" s="800"/>
      <c r="RJF74" s="705"/>
      <c r="RJG74" s="799"/>
      <c r="RJH74" s="800"/>
      <c r="RJI74" s="800"/>
      <c r="RJJ74" s="800"/>
      <c r="RJK74" s="800"/>
      <c r="RJL74" s="800"/>
      <c r="RJM74" s="705"/>
      <c r="RJN74" s="799"/>
      <c r="RJO74" s="800"/>
      <c r="RJP74" s="800"/>
      <c r="RJQ74" s="800"/>
      <c r="RJR74" s="800"/>
      <c r="RJS74" s="800"/>
      <c r="RJT74" s="705"/>
      <c r="RJU74" s="799"/>
      <c r="RJV74" s="800"/>
      <c r="RJW74" s="800"/>
      <c r="RJX74" s="800"/>
      <c r="RJY74" s="800"/>
      <c r="RJZ74" s="800"/>
      <c r="RKA74" s="705"/>
      <c r="RKB74" s="799"/>
      <c r="RKC74" s="800"/>
      <c r="RKD74" s="800"/>
      <c r="RKE74" s="800"/>
      <c r="RKF74" s="800"/>
      <c r="RKG74" s="800"/>
      <c r="RKH74" s="705"/>
      <c r="RKI74" s="799"/>
      <c r="RKJ74" s="800"/>
      <c r="RKK74" s="800"/>
      <c r="RKL74" s="800"/>
      <c r="RKM74" s="800"/>
      <c r="RKN74" s="800"/>
      <c r="RKO74" s="705"/>
      <c r="RKP74" s="799"/>
      <c r="RKQ74" s="800"/>
      <c r="RKR74" s="800"/>
      <c r="RKS74" s="800"/>
      <c r="RKT74" s="800"/>
      <c r="RKU74" s="800"/>
      <c r="RKV74" s="705"/>
      <c r="RKW74" s="799"/>
      <c r="RKX74" s="800"/>
      <c r="RKY74" s="800"/>
      <c r="RKZ74" s="800"/>
      <c r="RLA74" s="800"/>
      <c r="RLB74" s="800"/>
      <c r="RLC74" s="705"/>
      <c r="RLD74" s="799"/>
      <c r="RLE74" s="800"/>
      <c r="RLF74" s="800"/>
      <c r="RLG74" s="800"/>
      <c r="RLH74" s="800"/>
      <c r="RLI74" s="800"/>
      <c r="RLJ74" s="705"/>
      <c r="RLK74" s="799"/>
      <c r="RLL74" s="800"/>
      <c r="RLM74" s="800"/>
      <c r="RLN74" s="800"/>
      <c r="RLO74" s="800"/>
      <c r="RLP74" s="800"/>
      <c r="RLQ74" s="705"/>
      <c r="RLR74" s="799"/>
      <c r="RLS74" s="800"/>
      <c r="RLT74" s="800"/>
      <c r="RLU74" s="800"/>
      <c r="RLV74" s="800"/>
      <c r="RLW74" s="800"/>
      <c r="RLX74" s="705"/>
      <c r="RLY74" s="799"/>
      <c r="RLZ74" s="800"/>
      <c r="RMA74" s="800"/>
      <c r="RMB74" s="800"/>
      <c r="RMC74" s="800"/>
      <c r="RMD74" s="800"/>
      <c r="RME74" s="705"/>
      <c r="RMF74" s="799"/>
      <c r="RMG74" s="800"/>
      <c r="RMH74" s="800"/>
      <c r="RMI74" s="800"/>
      <c r="RMJ74" s="800"/>
      <c r="RMK74" s="800"/>
      <c r="RML74" s="705"/>
      <c r="RMM74" s="799"/>
      <c r="RMN74" s="800"/>
      <c r="RMO74" s="800"/>
      <c r="RMP74" s="800"/>
      <c r="RMQ74" s="800"/>
      <c r="RMR74" s="800"/>
      <c r="RMS74" s="705"/>
      <c r="RMT74" s="799"/>
      <c r="RMU74" s="800"/>
      <c r="RMV74" s="800"/>
      <c r="RMW74" s="800"/>
      <c r="RMX74" s="800"/>
      <c r="RMY74" s="800"/>
      <c r="RMZ74" s="705"/>
      <c r="RNA74" s="799"/>
      <c r="RNB74" s="800"/>
      <c r="RNC74" s="800"/>
      <c r="RND74" s="800"/>
      <c r="RNE74" s="800"/>
      <c r="RNF74" s="800"/>
      <c r="RNG74" s="705"/>
      <c r="RNH74" s="799"/>
      <c r="RNI74" s="800"/>
      <c r="RNJ74" s="800"/>
      <c r="RNK74" s="800"/>
      <c r="RNL74" s="800"/>
      <c r="RNM74" s="800"/>
      <c r="RNN74" s="705"/>
      <c r="RNO74" s="799"/>
      <c r="RNP74" s="800"/>
      <c r="RNQ74" s="800"/>
      <c r="RNR74" s="800"/>
      <c r="RNS74" s="800"/>
      <c r="RNT74" s="800"/>
      <c r="RNU74" s="705"/>
      <c r="RNV74" s="799"/>
      <c r="RNW74" s="800"/>
      <c r="RNX74" s="800"/>
      <c r="RNY74" s="800"/>
      <c r="RNZ74" s="800"/>
      <c r="ROA74" s="800"/>
      <c r="ROB74" s="705"/>
      <c r="ROC74" s="799"/>
      <c r="ROD74" s="800"/>
      <c r="ROE74" s="800"/>
      <c r="ROF74" s="800"/>
      <c r="ROG74" s="800"/>
      <c r="ROH74" s="800"/>
      <c r="ROI74" s="705"/>
      <c r="ROJ74" s="799"/>
      <c r="ROK74" s="800"/>
      <c r="ROL74" s="800"/>
      <c r="ROM74" s="800"/>
      <c r="RON74" s="800"/>
      <c r="ROO74" s="800"/>
      <c r="ROP74" s="705"/>
      <c r="ROQ74" s="799"/>
      <c r="ROR74" s="800"/>
      <c r="ROS74" s="800"/>
      <c r="ROT74" s="800"/>
      <c r="ROU74" s="800"/>
      <c r="ROV74" s="800"/>
      <c r="ROW74" s="705"/>
      <c r="ROX74" s="799"/>
      <c r="ROY74" s="800"/>
      <c r="ROZ74" s="800"/>
      <c r="RPA74" s="800"/>
      <c r="RPB74" s="800"/>
      <c r="RPC74" s="800"/>
      <c r="RPD74" s="705"/>
      <c r="RPE74" s="799"/>
      <c r="RPF74" s="800"/>
      <c r="RPG74" s="800"/>
      <c r="RPH74" s="800"/>
      <c r="RPI74" s="800"/>
      <c r="RPJ74" s="800"/>
      <c r="RPK74" s="705"/>
      <c r="RPL74" s="799"/>
      <c r="RPM74" s="800"/>
      <c r="RPN74" s="800"/>
      <c r="RPO74" s="800"/>
      <c r="RPP74" s="800"/>
      <c r="RPQ74" s="800"/>
      <c r="RPR74" s="705"/>
      <c r="RPS74" s="799"/>
      <c r="RPT74" s="800"/>
      <c r="RPU74" s="800"/>
      <c r="RPV74" s="800"/>
      <c r="RPW74" s="800"/>
      <c r="RPX74" s="800"/>
      <c r="RPY74" s="705"/>
      <c r="RPZ74" s="799"/>
      <c r="RQA74" s="800"/>
      <c r="RQB74" s="800"/>
      <c r="RQC74" s="800"/>
      <c r="RQD74" s="800"/>
      <c r="RQE74" s="800"/>
      <c r="RQF74" s="705"/>
      <c r="RQG74" s="799"/>
      <c r="RQH74" s="800"/>
      <c r="RQI74" s="800"/>
      <c r="RQJ74" s="800"/>
      <c r="RQK74" s="800"/>
      <c r="RQL74" s="800"/>
      <c r="RQM74" s="705"/>
      <c r="RQN74" s="799"/>
      <c r="RQO74" s="800"/>
      <c r="RQP74" s="800"/>
      <c r="RQQ74" s="800"/>
      <c r="RQR74" s="800"/>
      <c r="RQS74" s="800"/>
      <c r="RQT74" s="705"/>
      <c r="RQU74" s="799"/>
      <c r="RQV74" s="800"/>
      <c r="RQW74" s="800"/>
      <c r="RQX74" s="800"/>
      <c r="RQY74" s="800"/>
      <c r="RQZ74" s="800"/>
      <c r="RRA74" s="705"/>
      <c r="RRB74" s="799"/>
      <c r="RRC74" s="800"/>
      <c r="RRD74" s="800"/>
      <c r="RRE74" s="800"/>
      <c r="RRF74" s="800"/>
      <c r="RRG74" s="800"/>
      <c r="RRH74" s="705"/>
      <c r="RRI74" s="799"/>
      <c r="RRJ74" s="800"/>
      <c r="RRK74" s="800"/>
      <c r="RRL74" s="800"/>
      <c r="RRM74" s="800"/>
      <c r="RRN74" s="800"/>
      <c r="RRO74" s="705"/>
      <c r="RRP74" s="799"/>
      <c r="RRQ74" s="800"/>
      <c r="RRR74" s="800"/>
      <c r="RRS74" s="800"/>
      <c r="RRT74" s="800"/>
      <c r="RRU74" s="800"/>
      <c r="RRV74" s="705"/>
      <c r="RRW74" s="799"/>
      <c r="RRX74" s="800"/>
      <c r="RRY74" s="800"/>
      <c r="RRZ74" s="800"/>
      <c r="RSA74" s="800"/>
      <c r="RSB74" s="800"/>
      <c r="RSC74" s="705"/>
      <c r="RSD74" s="799"/>
      <c r="RSE74" s="800"/>
      <c r="RSF74" s="800"/>
      <c r="RSG74" s="800"/>
      <c r="RSH74" s="800"/>
      <c r="RSI74" s="800"/>
      <c r="RSJ74" s="705"/>
      <c r="RSK74" s="799"/>
      <c r="RSL74" s="800"/>
      <c r="RSM74" s="800"/>
      <c r="RSN74" s="800"/>
      <c r="RSO74" s="800"/>
      <c r="RSP74" s="800"/>
      <c r="RSQ74" s="705"/>
      <c r="RSR74" s="799"/>
      <c r="RSS74" s="800"/>
      <c r="RST74" s="800"/>
      <c r="RSU74" s="800"/>
      <c r="RSV74" s="800"/>
      <c r="RSW74" s="800"/>
      <c r="RSX74" s="705"/>
      <c r="RSY74" s="799"/>
      <c r="RSZ74" s="800"/>
      <c r="RTA74" s="800"/>
      <c r="RTB74" s="800"/>
      <c r="RTC74" s="800"/>
      <c r="RTD74" s="800"/>
      <c r="RTE74" s="705"/>
      <c r="RTF74" s="799"/>
      <c r="RTG74" s="800"/>
      <c r="RTH74" s="800"/>
      <c r="RTI74" s="800"/>
      <c r="RTJ74" s="800"/>
      <c r="RTK74" s="800"/>
      <c r="RTL74" s="705"/>
      <c r="RTM74" s="799"/>
      <c r="RTN74" s="800"/>
      <c r="RTO74" s="800"/>
      <c r="RTP74" s="800"/>
      <c r="RTQ74" s="800"/>
      <c r="RTR74" s="800"/>
      <c r="RTS74" s="705"/>
      <c r="RTT74" s="799"/>
      <c r="RTU74" s="800"/>
      <c r="RTV74" s="800"/>
      <c r="RTW74" s="800"/>
      <c r="RTX74" s="800"/>
      <c r="RTY74" s="800"/>
      <c r="RTZ74" s="705"/>
      <c r="RUA74" s="799"/>
      <c r="RUB74" s="800"/>
      <c r="RUC74" s="800"/>
      <c r="RUD74" s="800"/>
      <c r="RUE74" s="800"/>
      <c r="RUF74" s="800"/>
      <c r="RUG74" s="705"/>
      <c r="RUH74" s="799"/>
      <c r="RUI74" s="800"/>
      <c r="RUJ74" s="800"/>
      <c r="RUK74" s="800"/>
      <c r="RUL74" s="800"/>
      <c r="RUM74" s="800"/>
      <c r="RUN74" s="705"/>
      <c r="RUO74" s="799"/>
      <c r="RUP74" s="800"/>
      <c r="RUQ74" s="800"/>
      <c r="RUR74" s="800"/>
      <c r="RUS74" s="800"/>
      <c r="RUT74" s="800"/>
      <c r="RUU74" s="705"/>
      <c r="RUV74" s="799"/>
      <c r="RUW74" s="800"/>
      <c r="RUX74" s="800"/>
      <c r="RUY74" s="800"/>
      <c r="RUZ74" s="800"/>
      <c r="RVA74" s="800"/>
      <c r="RVB74" s="705"/>
      <c r="RVC74" s="799"/>
      <c r="RVD74" s="800"/>
      <c r="RVE74" s="800"/>
      <c r="RVF74" s="800"/>
      <c r="RVG74" s="800"/>
      <c r="RVH74" s="800"/>
      <c r="RVI74" s="705"/>
      <c r="RVJ74" s="799"/>
      <c r="RVK74" s="800"/>
      <c r="RVL74" s="800"/>
      <c r="RVM74" s="800"/>
      <c r="RVN74" s="800"/>
      <c r="RVO74" s="800"/>
      <c r="RVP74" s="705"/>
      <c r="RVQ74" s="799"/>
      <c r="RVR74" s="800"/>
      <c r="RVS74" s="800"/>
      <c r="RVT74" s="800"/>
      <c r="RVU74" s="800"/>
      <c r="RVV74" s="800"/>
      <c r="RVW74" s="705"/>
      <c r="RVX74" s="799"/>
      <c r="RVY74" s="800"/>
      <c r="RVZ74" s="800"/>
      <c r="RWA74" s="800"/>
      <c r="RWB74" s="800"/>
      <c r="RWC74" s="800"/>
      <c r="RWD74" s="705"/>
      <c r="RWE74" s="799"/>
      <c r="RWF74" s="800"/>
      <c r="RWG74" s="800"/>
      <c r="RWH74" s="800"/>
      <c r="RWI74" s="800"/>
      <c r="RWJ74" s="800"/>
      <c r="RWK74" s="705"/>
      <c r="RWL74" s="799"/>
      <c r="RWM74" s="800"/>
      <c r="RWN74" s="800"/>
      <c r="RWO74" s="800"/>
      <c r="RWP74" s="800"/>
      <c r="RWQ74" s="800"/>
      <c r="RWR74" s="705"/>
      <c r="RWS74" s="799"/>
      <c r="RWT74" s="800"/>
      <c r="RWU74" s="800"/>
      <c r="RWV74" s="800"/>
      <c r="RWW74" s="800"/>
      <c r="RWX74" s="800"/>
      <c r="RWY74" s="705"/>
      <c r="RWZ74" s="799"/>
      <c r="RXA74" s="800"/>
      <c r="RXB74" s="800"/>
      <c r="RXC74" s="800"/>
      <c r="RXD74" s="800"/>
      <c r="RXE74" s="800"/>
      <c r="RXF74" s="705"/>
      <c r="RXG74" s="799"/>
      <c r="RXH74" s="800"/>
      <c r="RXI74" s="800"/>
      <c r="RXJ74" s="800"/>
      <c r="RXK74" s="800"/>
      <c r="RXL74" s="800"/>
      <c r="RXM74" s="705"/>
      <c r="RXN74" s="799"/>
      <c r="RXO74" s="800"/>
      <c r="RXP74" s="800"/>
      <c r="RXQ74" s="800"/>
      <c r="RXR74" s="800"/>
      <c r="RXS74" s="800"/>
      <c r="RXT74" s="705"/>
      <c r="RXU74" s="799"/>
      <c r="RXV74" s="800"/>
      <c r="RXW74" s="800"/>
      <c r="RXX74" s="800"/>
      <c r="RXY74" s="800"/>
      <c r="RXZ74" s="800"/>
      <c r="RYA74" s="705"/>
      <c r="RYB74" s="799"/>
      <c r="RYC74" s="800"/>
      <c r="RYD74" s="800"/>
      <c r="RYE74" s="800"/>
      <c r="RYF74" s="800"/>
      <c r="RYG74" s="800"/>
      <c r="RYH74" s="705"/>
      <c r="RYI74" s="799"/>
      <c r="RYJ74" s="800"/>
      <c r="RYK74" s="800"/>
      <c r="RYL74" s="800"/>
      <c r="RYM74" s="800"/>
      <c r="RYN74" s="800"/>
      <c r="RYO74" s="705"/>
      <c r="RYP74" s="799"/>
      <c r="RYQ74" s="800"/>
      <c r="RYR74" s="800"/>
      <c r="RYS74" s="800"/>
      <c r="RYT74" s="800"/>
      <c r="RYU74" s="800"/>
      <c r="RYV74" s="705"/>
      <c r="RYW74" s="799"/>
      <c r="RYX74" s="800"/>
      <c r="RYY74" s="800"/>
      <c r="RYZ74" s="800"/>
      <c r="RZA74" s="800"/>
      <c r="RZB74" s="800"/>
      <c r="RZC74" s="705"/>
      <c r="RZD74" s="799"/>
      <c r="RZE74" s="800"/>
      <c r="RZF74" s="800"/>
      <c r="RZG74" s="800"/>
      <c r="RZH74" s="800"/>
      <c r="RZI74" s="800"/>
      <c r="RZJ74" s="705"/>
      <c r="RZK74" s="799"/>
      <c r="RZL74" s="800"/>
      <c r="RZM74" s="800"/>
      <c r="RZN74" s="800"/>
      <c r="RZO74" s="800"/>
      <c r="RZP74" s="800"/>
      <c r="RZQ74" s="705"/>
      <c r="RZR74" s="799"/>
      <c r="RZS74" s="800"/>
      <c r="RZT74" s="800"/>
      <c r="RZU74" s="800"/>
      <c r="RZV74" s="800"/>
      <c r="RZW74" s="800"/>
      <c r="RZX74" s="705"/>
      <c r="RZY74" s="799"/>
      <c r="RZZ74" s="800"/>
      <c r="SAA74" s="800"/>
      <c r="SAB74" s="800"/>
      <c r="SAC74" s="800"/>
      <c r="SAD74" s="800"/>
      <c r="SAE74" s="705"/>
      <c r="SAF74" s="799"/>
      <c r="SAG74" s="800"/>
      <c r="SAH74" s="800"/>
      <c r="SAI74" s="800"/>
      <c r="SAJ74" s="800"/>
      <c r="SAK74" s="800"/>
      <c r="SAL74" s="705"/>
      <c r="SAM74" s="799"/>
      <c r="SAN74" s="800"/>
      <c r="SAO74" s="800"/>
      <c r="SAP74" s="800"/>
      <c r="SAQ74" s="800"/>
      <c r="SAR74" s="800"/>
      <c r="SAS74" s="705"/>
      <c r="SAT74" s="799"/>
      <c r="SAU74" s="800"/>
      <c r="SAV74" s="800"/>
      <c r="SAW74" s="800"/>
      <c r="SAX74" s="800"/>
      <c r="SAY74" s="800"/>
      <c r="SAZ74" s="705"/>
      <c r="SBA74" s="799"/>
      <c r="SBB74" s="800"/>
      <c r="SBC74" s="800"/>
      <c r="SBD74" s="800"/>
      <c r="SBE74" s="800"/>
      <c r="SBF74" s="800"/>
      <c r="SBG74" s="705"/>
      <c r="SBH74" s="799"/>
      <c r="SBI74" s="800"/>
      <c r="SBJ74" s="800"/>
      <c r="SBK74" s="800"/>
      <c r="SBL74" s="800"/>
      <c r="SBM74" s="800"/>
      <c r="SBN74" s="705"/>
      <c r="SBO74" s="799"/>
      <c r="SBP74" s="800"/>
      <c r="SBQ74" s="800"/>
      <c r="SBR74" s="800"/>
      <c r="SBS74" s="800"/>
      <c r="SBT74" s="800"/>
      <c r="SBU74" s="705"/>
      <c r="SBV74" s="799"/>
      <c r="SBW74" s="800"/>
      <c r="SBX74" s="800"/>
      <c r="SBY74" s="800"/>
      <c r="SBZ74" s="800"/>
      <c r="SCA74" s="800"/>
      <c r="SCB74" s="705"/>
      <c r="SCC74" s="799"/>
      <c r="SCD74" s="800"/>
      <c r="SCE74" s="800"/>
      <c r="SCF74" s="800"/>
      <c r="SCG74" s="800"/>
      <c r="SCH74" s="800"/>
      <c r="SCI74" s="705"/>
      <c r="SCJ74" s="799"/>
      <c r="SCK74" s="800"/>
      <c r="SCL74" s="800"/>
      <c r="SCM74" s="800"/>
      <c r="SCN74" s="800"/>
      <c r="SCO74" s="800"/>
      <c r="SCP74" s="705"/>
      <c r="SCQ74" s="799"/>
      <c r="SCR74" s="800"/>
      <c r="SCS74" s="800"/>
      <c r="SCT74" s="800"/>
      <c r="SCU74" s="800"/>
      <c r="SCV74" s="800"/>
      <c r="SCW74" s="705"/>
      <c r="SCX74" s="799"/>
      <c r="SCY74" s="800"/>
      <c r="SCZ74" s="800"/>
      <c r="SDA74" s="800"/>
      <c r="SDB74" s="800"/>
      <c r="SDC74" s="800"/>
      <c r="SDD74" s="705"/>
      <c r="SDE74" s="799"/>
      <c r="SDF74" s="800"/>
      <c r="SDG74" s="800"/>
      <c r="SDH74" s="800"/>
      <c r="SDI74" s="800"/>
      <c r="SDJ74" s="800"/>
      <c r="SDK74" s="705"/>
      <c r="SDL74" s="799"/>
      <c r="SDM74" s="800"/>
      <c r="SDN74" s="800"/>
      <c r="SDO74" s="800"/>
      <c r="SDP74" s="800"/>
      <c r="SDQ74" s="800"/>
      <c r="SDR74" s="705"/>
      <c r="SDS74" s="799"/>
      <c r="SDT74" s="800"/>
      <c r="SDU74" s="800"/>
      <c r="SDV74" s="800"/>
      <c r="SDW74" s="800"/>
      <c r="SDX74" s="800"/>
      <c r="SDY74" s="705"/>
      <c r="SDZ74" s="799"/>
      <c r="SEA74" s="800"/>
      <c r="SEB74" s="800"/>
      <c r="SEC74" s="800"/>
      <c r="SED74" s="800"/>
      <c r="SEE74" s="800"/>
      <c r="SEF74" s="705"/>
      <c r="SEG74" s="799"/>
      <c r="SEH74" s="800"/>
      <c r="SEI74" s="800"/>
      <c r="SEJ74" s="800"/>
      <c r="SEK74" s="800"/>
      <c r="SEL74" s="800"/>
      <c r="SEM74" s="705"/>
      <c r="SEN74" s="799"/>
      <c r="SEO74" s="800"/>
      <c r="SEP74" s="800"/>
      <c r="SEQ74" s="800"/>
      <c r="SER74" s="800"/>
      <c r="SES74" s="800"/>
      <c r="SET74" s="705"/>
      <c r="SEU74" s="799"/>
      <c r="SEV74" s="800"/>
      <c r="SEW74" s="800"/>
      <c r="SEX74" s="800"/>
      <c r="SEY74" s="800"/>
      <c r="SEZ74" s="800"/>
      <c r="SFA74" s="705"/>
      <c r="SFB74" s="799"/>
      <c r="SFC74" s="800"/>
      <c r="SFD74" s="800"/>
      <c r="SFE74" s="800"/>
      <c r="SFF74" s="800"/>
      <c r="SFG74" s="800"/>
      <c r="SFH74" s="705"/>
      <c r="SFI74" s="799"/>
      <c r="SFJ74" s="800"/>
      <c r="SFK74" s="800"/>
      <c r="SFL74" s="800"/>
      <c r="SFM74" s="800"/>
      <c r="SFN74" s="800"/>
      <c r="SFO74" s="705"/>
      <c r="SFP74" s="799"/>
      <c r="SFQ74" s="800"/>
      <c r="SFR74" s="800"/>
      <c r="SFS74" s="800"/>
      <c r="SFT74" s="800"/>
      <c r="SFU74" s="800"/>
      <c r="SFV74" s="705"/>
      <c r="SFW74" s="799"/>
      <c r="SFX74" s="800"/>
      <c r="SFY74" s="800"/>
      <c r="SFZ74" s="800"/>
      <c r="SGA74" s="800"/>
      <c r="SGB74" s="800"/>
      <c r="SGC74" s="705"/>
      <c r="SGD74" s="799"/>
      <c r="SGE74" s="800"/>
      <c r="SGF74" s="800"/>
      <c r="SGG74" s="800"/>
      <c r="SGH74" s="800"/>
      <c r="SGI74" s="800"/>
      <c r="SGJ74" s="705"/>
      <c r="SGK74" s="799"/>
      <c r="SGL74" s="800"/>
      <c r="SGM74" s="800"/>
      <c r="SGN74" s="800"/>
      <c r="SGO74" s="800"/>
      <c r="SGP74" s="800"/>
      <c r="SGQ74" s="705"/>
      <c r="SGR74" s="799"/>
      <c r="SGS74" s="800"/>
      <c r="SGT74" s="800"/>
      <c r="SGU74" s="800"/>
      <c r="SGV74" s="800"/>
      <c r="SGW74" s="800"/>
      <c r="SGX74" s="705"/>
      <c r="SGY74" s="799"/>
      <c r="SGZ74" s="800"/>
      <c r="SHA74" s="800"/>
      <c r="SHB74" s="800"/>
      <c r="SHC74" s="800"/>
      <c r="SHD74" s="800"/>
      <c r="SHE74" s="705"/>
      <c r="SHF74" s="799"/>
      <c r="SHG74" s="800"/>
      <c r="SHH74" s="800"/>
      <c r="SHI74" s="800"/>
      <c r="SHJ74" s="800"/>
      <c r="SHK74" s="800"/>
      <c r="SHL74" s="705"/>
      <c r="SHM74" s="799"/>
      <c r="SHN74" s="800"/>
      <c r="SHO74" s="800"/>
      <c r="SHP74" s="800"/>
      <c r="SHQ74" s="800"/>
      <c r="SHR74" s="800"/>
      <c r="SHS74" s="705"/>
      <c r="SHT74" s="799"/>
      <c r="SHU74" s="800"/>
      <c r="SHV74" s="800"/>
      <c r="SHW74" s="800"/>
      <c r="SHX74" s="800"/>
      <c r="SHY74" s="800"/>
      <c r="SHZ74" s="705"/>
      <c r="SIA74" s="799"/>
      <c r="SIB74" s="800"/>
      <c r="SIC74" s="800"/>
      <c r="SID74" s="800"/>
      <c r="SIE74" s="800"/>
      <c r="SIF74" s="800"/>
      <c r="SIG74" s="705"/>
      <c r="SIH74" s="799"/>
      <c r="SII74" s="800"/>
      <c r="SIJ74" s="800"/>
      <c r="SIK74" s="800"/>
      <c r="SIL74" s="800"/>
      <c r="SIM74" s="800"/>
      <c r="SIN74" s="705"/>
      <c r="SIO74" s="799"/>
      <c r="SIP74" s="800"/>
      <c r="SIQ74" s="800"/>
      <c r="SIR74" s="800"/>
      <c r="SIS74" s="800"/>
      <c r="SIT74" s="800"/>
      <c r="SIU74" s="705"/>
      <c r="SIV74" s="799"/>
      <c r="SIW74" s="800"/>
      <c r="SIX74" s="800"/>
      <c r="SIY74" s="800"/>
      <c r="SIZ74" s="800"/>
      <c r="SJA74" s="800"/>
      <c r="SJB74" s="705"/>
      <c r="SJC74" s="799"/>
      <c r="SJD74" s="800"/>
      <c r="SJE74" s="800"/>
      <c r="SJF74" s="800"/>
      <c r="SJG74" s="800"/>
      <c r="SJH74" s="800"/>
      <c r="SJI74" s="705"/>
      <c r="SJJ74" s="799"/>
      <c r="SJK74" s="800"/>
      <c r="SJL74" s="800"/>
      <c r="SJM74" s="800"/>
      <c r="SJN74" s="800"/>
      <c r="SJO74" s="800"/>
      <c r="SJP74" s="705"/>
      <c r="SJQ74" s="799"/>
      <c r="SJR74" s="800"/>
      <c r="SJS74" s="800"/>
      <c r="SJT74" s="800"/>
      <c r="SJU74" s="800"/>
      <c r="SJV74" s="800"/>
      <c r="SJW74" s="705"/>
      <c r="SJX74" s="799"/>
      <c r="SJY74" s="800"/>
      <c r="SJZ74" s="800"/>
      <c r="SKA74" s="800"/>
      <c r="SKB74" s="800"/>
      <c r="SKC74" s="800"/>
      <c r="SKD74" s="705"/>
      <c r="SKE74" s="799"/>
      <c r="SKF74" s="800"/>
      <c r="SKG74" s="800"/>
      <c r="SKH74" s="800"/>
      <c r="SKI74" s="800"/>
      <c r="SKJ74" s="800"/>
      <c r="SKK74" s="705"/>
      <c r="SKL74" s="799"/>
      <c r="SKM74" s="800"/>
      <c r="SKN74" s="800"/>
      <c r="SKO74" s="800"/>
      <c r="SKP74" s="800"/>
      <c r="SKQ74" s="800"/>
      <c r="SKR74" s="705"/>
      <c r="SKS74" s="799"/>
      <c r="SKT74" s="800"/>
      <c r="SKU74" s="800"/>
      <c r="SKV74" s="800"/>
      <c r="SKW74" s="800"/>
      <c r="SKX74" s="800"/>
      <c r="SKY74" s="705"/>
      <c r="SKZ74" s="799"/>
      <c r="SLA74" s="800"/>
      <c r="SLB74" s="800"/>
      <c r="SLC74" s="800"/>
      <c r="SLD74" s="800"/>
      <c r="SLE74" s="800"/>
      <c r="SLF74" s="705"/>
      <c r="SLG74" s="799"/>
      <c r="SLH74" s="800"/>
      <c r="SLI74" s="800"/>
      <c r="SLJ74" s="800"/>
      <c r="SLK74" s="800"/>
      <c r="SLL74" s="800"/>
      <c r="SLM74" s="705"/>
      <c r="SLN74" s="799"/>
      <c r="SLO74" s="800"/>
      <c r="SLP74" s="800"/>
      <c r="SLQ74" s="800"/>
      <c r="SLR74" s="800"/>
      <c r="SLS74" s="800"/>
      <c r="SLT74" s="705"/>
      <c r="SLU74" s="799"/>
      <c r="SLV74" s="800"/>
      <c r="SLW74" s="800"/>
      <c r="SLX74" s="800"/>
      <c r="SLY74" s="800"/>
      <c r="SLZ74" s="800"/>
      <c r="SMA74" s="705"/>
      <c r="SMB74" s="799"/>
      <c r="SMC74" s="800"/>
      <c r="SMD74" s="800"/>
      <c r="SME74" s="800"/>
      <c r="SMF74" s="800"/>
      <c r="SMG74" s="800"/>
      <c r="SMH74" s="705"/>
      <c r="SMI74" s="799"/>
      <c r="SMJ74" s="800"/>
      <c r="SMK74" s="800"/>
      <c r="SML74" s="800"/>
      <c r="SMM74" s="800"/>
      <c r="SMN74" s="800"/>
      <c r="SMO74" s="705"/>
      <c r="SMP74" s="799"/>
      <c r="SMQ74" s="800"/>
      <c r="SMR74" s="800"/>
      <c r="SMS74" s="800"/>
      <c r="SMT74" s="800"/>
      <c r="SMU74" s="800"/>
      <c r="SMV74" s="705"/>
      <c r="SMW74" s="799"/>
      <c r="SMX74" s="800"/>
      <c r="SMY74" s="800"/>
      <c r="SMZ74" s="800"/>
      <c r="SNA74" s="800"/>
      <c r="SNB74" s="800"/>
      <c r="SNC74" s="705"/>
      <c r="SND74" s="799"/>
      <c r="SNE74" s="800"/>
      <c r="SNF74" s="800"/>
      <c r="SNG74" s="800"/>
      <c r="SNH74" s="800"/>
      <c r="SNI74" s="800"/>
      <c r="SNJ74" s="705"/>
      <c r="SNK74" s="799"/>
      <c r="SNL74" s="800"/>
      <c r="SNM74" s="800"/>
      <c r="SNN74" s="800"/>
      <c r="SNO74" s="800"/>
      <c r="SNP74" s="800"/>
      <c r="SNQ74" s="705"/>
      <c r="SNR74" s="799"/>
      <c r="SNS74" s="800"/>
      <c r="SNT74" s="800"/>
      <c r="SNU74" s="800"/>
      <c r="SNV74" s="800"/>
      <c r="SNW74" s="800"/>
      <c r="SNX74" s="705"/>
      <c r="SNY74" s="799"/>
      <c r="SNZ74" s="800"/>
      <c r="SOA74" s="800"/>
      <c r="SOB74" s="800"/>
      <c r="SOC74" s="800"/>
      <c r="SOD74" s="800"/>
      <c r="SOE74" s="705"/>
      <c r="SOF74" s="799"/>
      <c r="SOG74" s="800"/>
      <c r="SOH74" s="800"/>
      <c r="SOI74" s="800"/>
      <c r="SOJ74" s="800"/>
      <c r="SOK74" s="800"/>
      <c r="SOL74" s="705"/>
      <c r="SOM74" s="799"/>
      <c r="SON74" s="800"/>
      <c r="SOO74" s="800"/>
      <c r="SOP74" s="800"/>
      <c r="SOQ74" s="800"/>
      <c r="SOR74" s="800"/>
      <c r="SOS74" s="705"/>
      <c r="SOT74" s="799"/>
      <c r="SOU74" s="800"/>
      <c r="SOV74" s="800"/>
      <c r="SOW74" s="800"/>
      <c r="SOX74" s="800"/>
      <c r="SOY74" s="800"/>
      <c r="SOZ74" s="705"/>
      <c r="SPA74" s="799"/>
      <c r="SPB74" s="800"/>
      <c r="SPC74" s="800"/>
      <c r="SPD74" s="800"/>
      <c r="SPE74" s="800"/>
      <c r="SPF74" s="800"/>
      <c r="SPG74" s="705"/>
      <c r="SPH74" s="799"/>
      <c r="SPI74" s="800"/>
      <c r="SPJ74" s="800"/>
      <c r="SPK74" s="800"/>
      <c r="SPL74" s="800"/>
      <c r="SPM74" s="800"/>
      <c r="SPN74" s="705"/>
      <c r="SPO74" s="799"/>
      <c r="SPP74" s="800"/>
      <c r="SPQ74" s="800"/>
      <c r="SPR74" s="800"/>
      <c r="SPS74" s="800"/>
      <c r="SPT74" s="800"/>
      <c r="SPU74" s="705"/>
      <c r="SPV74" s="799"/>
      <c r="SPW74" s="800"/>
      <c r="SPX74" s="800"/>
      <c r="SPY74" s="800"/>
      <c r="SPZ74" s="800"/>
      <c r="SQA74" s="800"/>
      <c r="SQB74" s="705"/>
      <c r="SQC74" s="799"/>
      <c r="SQD74" s="800"/>
      <c r="SQE74" s="800"/>
      <c r="SQF74" s="800"/>
      <c r="SQG74" s="800"/>
      <c r="SQH74" s="800"/>
      <c r="SQI74" s="705"/>
      <c r="SQJ74" s="799"/>
      <c r="SQK74" s="800"/>
      <c r="SQL74" s="800"/>
      <c r="SQM74" s="800"/>
      <c r="SQN74" s="800"/>
      <c r="SQO74" s="800"/>
      <c r="SQP74" s="705"/>
      <c r="SQQ74" s="799"/>
      <c r="SQR74" s="800"/>
      <c r="SQS74" s="800"/>
      <c r="SQT74" s="800"/>
      <c r="SQU74" s="800"/>
      <c r="SQV74" s="800"/>
      <c r="SQW74" s="705"/>
      <c r="SQX74" s="799"/>
      <c r="SQY74" s="800"/>
      <c r="SQZ74" s="800"/>
      <c r="SRA74" s="800"/>
      <c r="SRB74" s="800"/>
      <c r="SRC74" s="800"/>
      <c r="SRD74" s="705"/>
      <c r="SRE74" s="799"/>
      <c r="SRF74" s="800"/>
      <c r="SRG74" s="800"/>
      <c r="SRH74" s="800"/>
      <c r="SRI74" s="800"/>
      <c r="SRJ74" s="800"/>
      <c r="SRK74" s="705"/>
      <c r="SRL74" s="799"/>
      <c r="SRM74" s="800"/>
      <c r="SRN74" s="800"/>
      <c r="SRO74" s="800"/>
      <c r="SRP74" s="800"/>
      <c r="SRQ74" s="800"/>
      <c r="SRR74" s="705"/>
      <c r="SRS74" s="799"/>
      <c r="SRT74" s="800"/>
      <c r="SRU74" s="800"/>
      <c r="SRV74" s="800"/>
      <c r="SRW74" s="800"/>
      <c r="SRX74" s="800"/>
      <c r="SRY74" s="705"/>
      <c r="SRZ74" s="799"/>
      <c r="SSA74" s="800"/>
      <c r="SSB74" s="800"/>
      <c r="SSC74" s="800"/>
      <c r="SSD74" s="800"/>
      <c r="SSE74" s="800"/>
      <c r="SSF74" s="705"/>
      <c r="SSG74" s="799"/>
      <c r="SSH74" s="800"/>
      <c r="SSI74" s="800"/>
      <c r="SSJ74" s="800"/>
      <c r="SSK74" s="800"/>
      <c r="SSL74" s="800"/>
      <c r="SSM74" s="705"/>
      <c r="SSN74" s="799"/>
      <c r="SSO74" s="800"/>
      <c r="SSP74" s="800"/>
      <c r="SSQ74" s="800"/>
      <c r="SSR74" s="800"/>
      <c r="SSS74" s="800"/>
      <c r="SST74" s="705"/>
      <c r="SSU74" s="799"/>
      <c r="SSV74" s="800"/>
      <c r="SSW74" s="800"/>
      <c r="SSX74" s="800"/>
      <c r="SSY74" s="800"/>
      <c r="SSZ74" s="800"/>
      <c r="STA74" s="705"/>
      <c r="STB74" s="799"/>
      <c r="STC74" s="800"/>
      <c r="STD74" s="800"/>
      <c r="STE74" s="800"/>
      <c r="STF74" s="800"/>
      <c r="STG74" s="800"/>
      <c r="STH74" s="705"/>
      <c r="STI74" s="799"/>
      <c r="STJ74" s="800"/>
      <c r="STK74" s="800"/>
      <c r="STL74" s="800"/>
      <c r="STM74" s="800"/>
      <c r="STN74" s="800"/>
      <c r="STO74" s="705"/>
      <c r="STP74" s="799"/>
      <c r="STQ74" s="800"/>
      <c r="STR74" s="800"/>
      <c r="STS74" s="800"/>
      <c r="STT74" s="800"/>
      <c r="STU74" s="800"/>
      <c r="STV74" s="705"/>
      <c r="STW74" s="799"/>
      <c r="STX74" s="800"/>
      <c r="STY74" s="800"/>
      <c r="STZ74" s="800"/>
      <c r="SUA74" s="800"/>
      <c r="SUB74" s="800"/>
      <c r="SUC74" s="705"/>
      <c r="SUD74" s="799"/>
      <c r="SUE74" s="800"/>
      <c r="SUF74" s="800"/>
      <c r="SUG74" s="800"/>
      <c r="SUH74" s="800"/>
      <c r="SUI74" s="800"/>
      <c r="SUJ74" s="705"/>
      <c r="SUK74" s="799"/>
      <c r="SUL74" s="800"/>
      <c r="SUM74" s="800"/>
      <c r="SUN74" s="800"/>
      <c r="SUO74" s="800"/>
      <c r="SUP74" s="800"/>
      <c r="SUQ74" s="705"/>
      <c r="SUR74" s="799"/>
      <c r="SUS74" s="800"/>
      <c r="SUT74" s="800"/>
      <c r="SUU74" s="800"/>
      <c r="SUV74" s="800"/>
      <c r="SUW74" s="800"/>
      <c r="SUX74" s="705"/>
      <c r="SUY74" s="799"/>
      <c r="SUZ74" s="800"/>
      <c r="SVA74" s="800"/>
      <c r="SVB74" s="800"/>
      <c r="SVC74" s="800"/>
      <c r="SVD74" s="800"/>
      <c r="SVE74" s="705"/>
      <c r="SVF74" s="799"/>
      <c r="SVG74" s="800"/>
      <c r="SVH74" s="800"/>
      <c r="SVI74" s="800"/>
      <c r="SVJ74" s="800"/>
      <c r="SVK74" s="800"/>
      <c r="SVL74" s="705"/>
      <c r="SVM74" s="799"/>
      <c r="SVN74" s="800"/>
      <c r="SVO74" s="800"/>
      <c r="SVP74" s="800"/>
      <c r="SVQ74" s="800"/>
      <c r="SVR74" s="800"/>
      <c r="SVS74" s="705"/>
      <c r="SVT74" s="799"/>
      <c r="SVU74" s="800"/>
      <c r="SVV74" s="800"/>
      <c r="SVW74" s="800"/>
      <c r="SVX74" s="800"/>
      <c r="SVY74" s="800"/>
      <c r="SVZ74" s="705"/>
      <c r="SWA74" s="799"/>
      <c r="SWB74" s="800"/>
      <c r="SWC74" s="800"/>
      <c r="SWD74" s="800"/>
      <c r="SWE74" s="800"/>
      <c r="SWF74" s="800"/>
      <c r="SWG74" s="705"/>
      <c r="SWH74" s="799"/>
      <c r="SWI74" s="800"/>
      <c r="SWJ74" s="800"/>
      <c r="SWK74" s="800"/>
      <c r="SWL74" s="800"/>
      <c r="SWM74" s="800"/>
      <c r="SWN74" s="705"/>
      <c r="SWO74" s="799"/>
      <c r="SWP74" s="800"/>
      <c r="SWQ74" s="800"/>
      <c r="SWR74" s="800"/>
      <c r="SWS74" s="800"/>
      <c r="SWT74" s="800"/>
      <c r="SWU74" s="705"/>
      <c r="SWV74" s="799"/>
      <c r="SWW74" s="800"/>
      <c r="SWX74" s="800"/>
      <c r="SWY74" s="800"/>
      <c r="SWZ74" s="800"/>
      <c r="SXA74" s="800"/>
      <c r="SXB74" s="705"/>
      <c r="SXC74" s="799"/>
      <c r="SXD74" s="800"/>
      <c r="SXE74" s="800"/>
      <c r="SXF74" s="800"/>
      <c r="SXG74" s="800"/>
      <c r="SXH74" s="800"/>
      <c r="SXI74" s="705"/>
      <c r="SXJ74" s="799"/>
      <c r="SXK74" s="800"/>
      <c r="SXL74" s="800"/>
      <c r="SXM74" s="800"/>
      <c r="SXN74" s="800"/>
      <c r="SXO74" s="800"/>
      <c r="SXP74" s="705"/>
      <c r="SXQ74" s="799"/>
      <c r="SXR74" s="800"/>
      <c r="SXS74" s="800"/>
      <c r="SXT74" s="800"/>
      <c r="SXU74" s="800"/>
      <c r="SXV74" s="800"/>
      <c r="SXW74" s="705"/>
      <c r="SXX74" s="799"/>
      <c r="SXY74" s="800"/>
      <c r="SXZ74" s="800"/>
      <c r="SYA74" s="800"/>
      <c r="SYB74" s="800"/>
      <c r="SYC74" s="800"/>
      <c r="SYD74" s="705"/>
      <c r="SYE74" s="799"/>
      <c r="SYF74" s="800"/>
      <c r="SYG74" s="800"/>
      <c r="SYH74" s="800"/>
      <c r="SYI74" s="800"/>
      <c r="SYJ74" s="800"/>
      <c r="SYK74" s="705"/>
      <c r="SYL74" s="799"/>
      <c r="SYM74" s="800"/>
      <c r="SYN74" s="800"/>
      <c r="SYO74" s="800"/>
      <c r="SYP74" s="800"/>
      <c r="SYQ74" s="800"/>
      <c r="SYR74" s="705"/>
      <c r="SYS74" s="799"/>
      <c r="SYT74" s="800"/>
      <c r="SYU74" s="800"/>
      <c r="SYV74" s="800"/>
      <c r="SYW74" s="800"/>
      <c r="SYX74" s="800"/>
      <c r="SYY74" s="705"/>
      <c r="SYZ74" s="799"/>
      <c r="SZA74" s="800"/>
      <c r="SZB74" s="800"/>
      <c r="SZC74" s="800"/>
      <c r="SZD74" s="800"/>
      <c r="SZE74" s="800"/>
      <c r="SZF74" s="705"/>
      <c r="SZG74" s="799"/>
      <c r="SZH74" s="800"/>
      <c r="SZI74" s="800"/>
      <c r="SZJ74" s="800"/>
      <c r="SZK74" s="800"/>
      <c r="SZL74" s="800"/>
      <c r="SZM74" s="705"/>
      <c r="SZN74" s="799"/>
      <c r="SZO74" s="800"/>
      <c r="SZP74" s="800"/>
      <c r="SZQ74" s="800"/>
      <c r="SZR74" s="800"/>
      <c r="SZS74" s="800"/>
      <c r="SZT74" s="705"/>
      <c r="SZU74" s="799"/>
      <c r="SZV74" s="800"/>
      <c r="SZW74" s="800"/>
      <c r="SZX74" s="800"/>
      <c r="SZY74" s="800"/>
      <c r="SZZ74" s="800"/>
      <c r="TAA74" s="705"/>
      <c r="TAB74" s="799"/>
      <c r="TAC74" s="800"/>
      <c r="TAD74" s="800"/>
      <c r="TAE74" s="800"/>
      <c r="TAF74" s="800"/>
      <c r="TAG74" s="800"/>
      <c r="TAH74" s="705"/>
      <c r="TAI74" s="799"/>
      <c r="TAJ74" s="800"/>
      <c r="TAK74" s="800"/>
      <c r="TAL74" s="800"/>
      <c r="TAM74" s="800"/>
      <c r="TAN74" s="800"/>
      <c r="TAO74" s="705"/>
      <c r="TAP74" s="799"/>
      <c r="TAQ74" s="800"/>
      <c r="TAR74" s="800"/>
      <c r="TAS74" s="800"/>
      <c r="TAT74" s="800"/>
      <c r="TAU74" s="800"/>
      <c r="TAV74" s="705"/>
      <c r="TAW74" s="799"/>
      <c r="TAX74" s="800"/>
      <c r="TAY74" s="800"/>
      <c r="TAZ74" s="800"/>
      <c r="TBA74" s="800"/>
      <c r="TBB74" s="800"/>
      <c r="TBC74" s="705"/>
      <c r="TBD74" s="799"/>
      <c r="TBE74" s="800"/>
      <c r="TBF74" s="800"/>
      <c r="TBG74" s="800"/>
      <c r="TBH74" s="800"/>
      <c r="TBI74" s="800"/>
      <c r="TBJ74" s="705"/>
      <c r="TBK74" s="799"/>
      <c r="TBL74" s="800"/>
      <c r="TBM74" s="800"/>
      <c r="TBN74" s="800"/>
      <c r="TBO74" s="800"/>
      <c r="TBP74" s="800"/>
      <c r="TBQ74" s="705"/>
      <c r="TBR74" s="799"/>
      <c r="TBS74" s="800"/>
      <c r="TBT74" s="800"/>
      <c r="TBU74" s="800"/>
      <c r="TBV74" s="800"/>
      <c r="TBW74" s="800"/>
      <c r="TBX74" s="705"/>
      <c r="TBY74" s="799"/>
      <c r="TBZ74" s="800"/>
      <c r="TCA74" s="800"/>
      <c r="TCB74" s="800"/>
      <c r="TCC74" s="800"/>
      <c r="TCD74" s="800"/>
      <c r="TCE74" s="705"/>
      <c r="TCF74" s="799"/>
      <c r="TCG74" s="800"/>
      <c r="TCH74" s="800"/>
      <c r="TCI74" s="800"/>
      <c r="TCJ74" s="800"/>
      <c r="TCK74" s="800"/>
      <c r="TCL74" s="705"/>
      <c r="TCM74" s="799"/>
      <c r="TCN74" s="800"/>
      <c r="TCO74" s="800"/>
      <c r="TCP74" s="800"/>
      <c r="TCQ74" s="800"/>
      <c r="TCR74" s="800"/>
      <c r="TCS74" s="705"/>
      <c r="TCT74" s="799"/>
      <c r="TCU74" s="800"/>
      <c r="TCV74" s="800"/>
      <c r="TCW74" s="800"/>
      <c r="TCX74" s="800"/>
      <c r="TCY74" s="800"/>
      <c r="TCZ74" s="705"/>
      <c r="TDA74" s="799"/>
      <c r="TDB74" s="800"/>
      <c r="TDC74" s="800"/>
      <c r="TDD74" s="800"/>
      <c r="TDE74" s="800"/>
      <c r="TDF74" s="800"/>
      <c r="TDG74" s="705"/>
      <c r="TDH74" s="799"/>
      <c r="TDI74" s="800"/>
      <c r="TDJ74" s="800"/>
      <c r="TDK74" s="800"/>
      <c r="TDL74" s="800"/>
      <c r="TDM74" s="800"/>
      <c r="TDN74" s="705"/>
      <c r="TDO74" s="799"/>
      <c r="TDP74" s="800"/>
      <c r="TDQ74" s="800"/>
      <c r="TDR74" s="800"/>
      <c r="TDS74" s="800"/>
      <c r="TDT74" s="800"/>
      <c r="TDU74" s="705"/>
      <c r="TDV74" s="799"/>
      <c r="TDW74" s="800"/>
      <c r="TDX74" s="800"/>
      <c r="TDY74" s="800"/>
      <c r="TDZ74" s="800"/>
      <c r="TEA74" s="800"/>
      <c r="TEB74" s="705"/>
      <c r="TEC74" s="799"/>
      <c r="TED74" s="800"/>
      <c r="TEE74" s="800"/>
      <c r="TEF74" s="800"/>
      <c r="TEG74" s="800"/>
      <c r="TEH74" s="800"/>
      <c r="TEI74" s="705"/>
      <c r="TEJ74" s="799"/>
      <c r="TEK74" s="800"/>
      <c r="TEL74" s="800"/>
      <c r="TEM74" s="800"/>
      <c r="TEN74" s="800"/>
      <c r="TEO74" s="800"/>
      <c r="TEP74" s="705"/>
      <c r="TEQ74" s="799"/>
      <c r="TER74" s="800"/>
      <c r="TES74" s="800"/>
      <c r="TET74" s="800"/>
      <c r="TEU74" s="800"/>
      <c r="TEV74" s="800"/>
      <c r="TEW74" s="705"/>
      <c r="TEX74" s="799"/>
      <c r="TEY74" s="800"/>
      <c r="TEZ74" s="800"/>
      <c r="TFA74" s="800"/>
      <c r="TFB74" s="800"/>
      <c r="TFC74" s="800"/>
      <c r="TFD74" s="705"/>
      <c r="TFE74" s="799"/>
      <c r="TFF74" s="800"/>
      <c r="TFG74" s="800"/>
      <c r="TFH74" s="800"/>
      <c r="TFI74" s="800"/>
      <c r="TFJ74" s="800"/>
      <c r="TFK74" s="705"/>
      <c r="TFL74" s="799"/>
      <c r="TFM74" s="800"/>
      <c r="TFN74" s="800"/>
      <c r="TFO74" s="800"/>
      <c r="TFP74" s="800"/>
      <c r="TFQ74" s="800"/>
      <c r="TFR74" s="705"/>
      <c r="TFS74" s="799"/>
      <c r="TFT74" s="800"/>
      <c r="TFU74" s="800"/>
      <c r="TFV74" s="800"/>
      <c r="TFW74" s="800"/>
      <c r="TFX74" s="800"/>
      <c r="TFY74" s="705"/>
      <c r="TFZ74" s="799"/>
      <c r="TGA74" s="800"/>
      <c r="TGB74" s="800"/>
      <c r="TGC74" s="800"/>
      <c r="TGD74" s="800"/>
      <c r="TGE74" s="800"/>
      <c r="TGF74" s="705"/>
      <c r="TGG74" s="799"/>
      <c r="TGH74" s="800"/>
      <c r="TGI74" s="800"/>
      <c r="TGJ74" s="800"/>
      <c r="TGK74" s="800"/>
      <c r="TGL74" s="800"/>
      <c r="TGM74" s="705"/>
      <c r="TGN74" s="799"/>
      <c r="TGO74" s="800"/>
      <c r="TGP74" s="800"/>
      <c r="TGQ74" s="800"/>
      <c r="TGR74" s="800"/>
      <c r="TGS74" s="800"/>
      <c r="TGT74" s="705"/>
      <c r="TGU74" s="799"/>
      <c r="TGV74" s="800"/>
      <c r="TGW74" s="800"/>
      <c r="TGX74" s="800"/>
      <c r="TGY74" s="800"/>
      <c r="TGZ74" s="800"/>
      <c r="THA74" s="705"/>
      <c r="THB74" s="799"/>
      <c r="THC74" s="800"/>
      <c r="THD74" s="800"/>
      <c r="THE74" s="800"/>
      <c r="THF74" s="800"/>
      <c r="THG74" s="800"/>
      <c r="THH74" s="705"/>
      <c r="THI74" s="799"/>
      <c r="THJ74" s="800"/>
      <c r="THK74" s="800"/>
      <c r="THL74" s="800"/>
      <c r="THM74" s="800"/>
      <c r="THN74" s="800"/>
      <c r="THO74" s="705"/>
      <c r="THP74" s="799"/>
      <c r="THQ74" s="800"/>
      <c r="THR74" s="800"/>
      <c r="THS74" s="800"/>
      <c r="THT74" s="800"/>
      <c r="THU74" s="800"/>
      <c r="THV74" s="705"/>
      <c r="THW74" s="799"/>
      <c r="THX74" s="800"/>
      <c r="THY74" s="800"/>
      <c r="THZ74" s="800"/>
      <c r="TIA74" s="800"/>
      <c r="TIB74" s="800"/>
      <c r="TIC74" s="705"/>
      <c r="TID74" s="799"/>
      <c r="TIE74" s="800"/>
      <c r="TIF74" s="800"/>
      <c r="TIG74" s="800"/>
      <c r="TIH74" s="800"/>
      <c r="TII74" s="800"/>
      <c r="TIJ74" s="705"/>
      <c r="TIK74" s="799"/>
      <c r="TIL74" s="800"/>
      <c r="TIM74" s="800"/>
      <c r="TIN74" s="800"/>
      <c r="TIO74" s="800"/>
      <c r="TIP74" s="800"/>
      <c r="TIQ74" s="705"/>
      <c r="TIR74" s="799"/>
      <c r="TIS74" s="800"/>
      <c r="TIT74" s="800"/>
      <c r="TIU74" s="800"/>
      <c r="TIV74" s="800"/>
      <c r="TIW74" s="800"/>
      <c r="TIX74" s="705"/>
      <c r="TIY74" s="799"/>
      <c r="TIZ74" s="800"/>
      <c r="TJA74" s="800"/>
      <c r="TJB74" s="800"/>
      <c r="TJC74" s="800"/>
      <c r="TJD74" s="800"/>
      <c r="TJE74" s="705"/>
      <c r="TJF74" s="799"/>
      <c r="TJG74" s="800"/>
      <c r="TJH74" s="800"/>
      <c r="TJI74" s="800"/>
      <c r="TJJ74" s="800"/>
      <c r="TJK74" s="800"/>
      <c r="TJL74" s="705"/>
      <c r="TJM74" s="799"/>
      <c r="TJN74" s="800"/>
      <c r="TJO74" s="800"/>
      <c r="TJP74" s="800"/>
      <c r="TJQ74" s="800"/>
      <c r="TJR74" s="800"/>
      <c r="TJS74" s="705"/>
      <c r="TJT74" s="799"/>
      <c r="TJU74" s="800"/>
      <c r="TJV74" s="800"/>
      <c r="TJW74" s="800"/>
      <c r="TJX74" s="800"/>
      <c r="TJY74" s="800"/>
      <c r="TJZ74" s="705"/>
      <c r="TKA74" s="799"/>
      <c r="TKB74" s="800"/>
      <c r="TKC74" s="800"/>
      <c r="TKD74" s="800"/>
      <c r="TKE74" s="800"/>
      <c r="TKF74" s="800"/>
      <c r="TKG74" s="705"/>
      <c r="TKH74" s="799"/>
      <c r="TKI74" s="800"/>
      <c r="TKJ74" s="800"/>
      <c r="TKK74" s="800"/>
      <c r="TKL74" s="800"/>
      <c r="TKM74" s="800"/>
      <c r="TKN74" s="705"/>
      <c r="TKO74" s="799"/>
      <c r="TKP74" s="800"/>
      <c r="TKQ74" s="800"/>
      <c r="TKR74" s="800"/>
      <c r="TKS74" s="800"/>
      <c r="TKT74" s="800"/>
      <c r="TKU74" s="705"/>
      <c r="TKV74" s="799"/>
      <c r="TKW74" s="800"/>
      <c r="TKX74" s="800"/>
      <c r="TKY74" s="800"/>
      <c r="TKZ74" s="800"/>
      <c r="TLA74" s="800"/>
      <c r="TLB74" s="705"/>
      <c r="TLC74" s="799"/>
      <c r="TLD74" s="800"/>
      <c r="TLE74" s="800"/>
      <c r="TLF74" s="800"/>
      <c r="TLG74" s="800"/>
      <c r="TLH74" s="800"/>
      <c r="TLI74" s="705"/>
      <c r="TLJ74" s="799"/>
      <c r="TLK74" s="800"/>
      <c r="TLL74" s="800"/>
      <c r="TLM74" s="800"/>
      <c r="TLN74" s="800"/>
      <c r="TLO74" s="800"/>
      <c r="TLP74" s="705"/>
      <c r="TLQ74" s="799"/>
      <c r="TLR74" s="800"/>
      <c r="TLS74" s="800"/>
      <c r="TLT74" s="800"/>
      <c r="TLU74" s="800"/>
      <c r="TLV74" s="800"/>
      <c r="TLW74" s="705"/>
      <c r="TLX74" s="799"/>
      <c r="TLY74" s="800"/>
      <c r="TLZ74" s="800"/>
      <c r="TMA74" s="800"/>
      <c r="TMB74" s="800"/>
      <c r="TMC74" s="800"/>
      <c r="TMD74" s="705"/>
      <c r="TME74" s="799"/>
      <c r="TMF74" s="800"/>
      <c r="TMG74" s="800"/>
      <c r="TMH74" s="800"/>
      <c r="TMI74" s="800"/>
      <c r="TMJ74" s="800"/>
      <c r="TMK74" s="705"/>
      <c r="TML74" s="799"/>
      <c r="TMM74" s="800"/>
      <c r="TMN74" s="800"/>
      <c r="TMO74" s="800"/>
      <c r="TMP74" s="800"/>
      <c r="TMQ74" s="800"/>
      <c r="TMR74" s="705"/>
      <c r="TMS74" s="799"/>
      <c r="TMT74" s="800"/>
      <c r="TMU74" s="800"/>
      <c r="TMV74" s="800"/>
      <c r="TMW74" s="800"/>
      <c r="TMX74" s="800"/>
      <c r="TMY74" s="705"/>
      <c r="TMZ74" s="799"/>
      <c r="TNA74" s="800"/>
      <c r="TNB74" s="800"/>
      <c r="TNC74" s="800"/>
      <c r="TND74" s="800"/>
      <c r="TNE74" s="800"/>
      <c r="TNF74" s="705"/>
      <c r="TNG74" s="799"/>
      <c r="TNH74" s="800"/>
      <c r="TNI74" s="800"/>
      <c r="TNJ74" s="800"/>
      <c r="TNK74" s="800"/>
      <c r="TNL74" s="800"/>
      <c r="TNM74" s="705"/>
      <c r="TNN74" s="799"/>
      <c r="TNO74" s="800"/>
      <c r="TNP74" s="800"/>
      <c r="TNQ74" s="800"/>
      <c r="TNR74" s="800"/>
      <c r="TNS74" s="800"/>
      <c r="TNT74" s="705"/>
      <c r="TNU74" s="799"/>
      <c r="TNV74" s="800"/>
      <c r="TNW74" s="800"/>
      <c r="TNX74" s="800"/>
      <c r="TNY74" s="800"/>
      <c r="TNZ74" s="800"/>
      <c r="TOA74" s="705"/>
      <c r="TOB74" s="799"/>
      <c r="TOC74" s="800"/>
      <c r="TOD74" s="800"/>
      <c r="TOE74" s="800"/>
      <c r="TOF74" s="800"/>
      <c r="TOG74" s="800"/>
      <c r="TOH74" s="705"/>
      <c r="TOI74" s="799"/>
      <c r="TOJ74" s="800"/>
      <c r="TOK74" s="800"/>
      <c r="TOL74" s="800"/>
      <c r="TOM74" s="800"/>
      <c r="TON74" s="800"/>
      <c r="TOO74" s="705"/>
      <c r="TOP74" s="799"/>
      <c r="TOQ74" s="800"/>
      <c r="TOR74" s="800"/>
      <c r="TOS74" s="800"/>
      <c r="TOT74" s="800"/>
      <c r="TOU74" s="800"/>
      <c r="TOV74" s="705"/>
      <c r="TOW74" s="799"/>
      <c r="TOX74" s="800"/>
      <c r="TOY74" s="800"/>
      <c r="TOZ74" s="800"/>
      <c r="TPA74" s="800"/>
      <c r="TPB74" s="800"/>
      <c r="TPC74" s="705"/>
      <c r="TPD74" s="799"/>
      <c r="TPE74" s="800"/>
      <c r="TPF74" s="800"/>
      <c r="TPG74" s="800"/>
      <c r="TPH74" s="800"/>
      <c r="TPI74" s="800"/>
      <c r="TPJ74" s="705"/>
      <c r="TPK74" s="799"/>
      <c r="TPL74" s="800"/>
      <c r="TPM74" s="800"/>
      <c r="TPN74" s="800"/>
      <c r="TPO74" s="800"/>
      <c r="TPP74" s="800"/>
      <c r="TPQ74" s="705"/>
      <c r="TPR74" s="799"/>
      <c r="TPS74" s="800"/>
      <c r="TPT74" s="800"/>
      <c r="TPU74" s="800"/>
      <c r="TPV74" s="800"/>
      <c r="TPW74" s="800"/>
      <c r="TPX74" s="705"/>
      <c r="TPY74" s="799"/>
      <c r="TPZ74" s="800"/>
      <c r="TQA74" s="800"/>
      <c r="TQB74" s="800"/>
      <c r="TQC74" s="800"/>
      <c r="TQD74" s="800"/>
      <c r="TQE74" s="705"/>
      <c r="TQF74" s="799"/>
      <c r="TQG74" s="800"/>
      <c r="TQH74" s="800"/>
      <c r="TQI74" s="800"/>
      <c r="TQJ74" s="800"/>
      <c r="TQK74" s="800"/>
      <c r="TQL74" s="705"/>
      <c r="TQM74" s="799"/>
      <c r="TQN74" s="800"/>
      <c r="TQO74" s="800"/>
      <c r="TQP74" s="800"/>
      <c r="TQQ74" s="800"/>
      <c r="TQR74" s="800"/>
      <c r="TQS74" s="705"/>
      <c r="TQT74" s="799"/>
      <c r="TQU74" s="800"/>
      <c r="TQV74" s="800"/>
      <c r="TQW74" s="800"/>
      <c r="TQX74" s="800"/>
      <c r="TQY74" s="800"/>
      <c r="TQZ74" s="705"/>
      <c r="TRA74" s="799"/>
      <c r="TRB74" s="800"/>
      <c r="TRC74" s="800"/>
      <c r="TRD74" s="800"/>
      <c r="TRE74" s="800"/>
      <c r="TRF74" s="800"/>
      <c r="TRG74" s="705"/>
      <c r="TRH74" s="799"/>
      <c r="TRI74" s="800"/>
      <c r="TRJ74" s="800"/>
      <c r="TRK74" s="800"/>
      <c r="TRL74" s="800"/>
      <c r="TRM74" s="800"/>
      <c r="TRN74" s="705"/>
      <c r="TRO74" s="799"/>
      <c r="TRP74" s="800"/>
      <c r="TRQ74" s="800"/>
      <c r="TRR74" s="800"/>
      <c r="TRS74" s="800"/>
      <c r="TRT74" s="800"/>
      <c r="TRU74" s="705"/>
      <c r="TRV74" s="799"/>
      <c r="TRW74" s="800"/>
      <c r="TRX74" s="800"/>
      <c r="TRY74" s="800"/>
      <c r="TRZ74" s="800"/>
      <c r="TSA74" s="800"/>
      <c r="TSB74" s="705"/>
      <c r="TSC74" s="799"/>
      <c r="TSD74" s="800"/>
      <c r="TSE74" s="800"/>
      <c r="TSF74" s="800"/>
      <c r="TSG74" s="800"/>
      <c r="TSH74" s="800"/>
      <c r="TSI74" s="705"/>
      <c r="TSJ74" s="799"/>
      <c r="TSK74" s="800"/>
      <c r="TSL74" s="800"/>
      <c r="TSM74" s="800"/>
      <c r="TSN74" s="800"/>
      <c r="TSO74" s="800"/>
      <c r="TSP74" s="705"/>
      <c r="TSQ74" s="799"/>
      <c r="TSR74" s="800"/>
      <c r="TSS74" s="800"/>
      <c r="TST74" s="800"/>
      <c r="TSU74" s="800"/>
      <c r="TSV74" s="800"/>
      <c r="TSW74" s="705"/>
      <c r="TSX74" s="799"/>
      <c r="TSY74" s="800"/>
      <c r="TSZ74" s="800"/>
      <c r="TTA74" s="800"/>
      <c r="TTB74" s="800"/>
      <c r="TTC74" s="800"/>
      <c r="TTD74" s="705"/>
      <c r="TTE74" s="799"/>
      <c r="TTF74" s="800"/>
      <c r="TTG74" s="800"/>
      <c r="TTH74" s="800"/>
      <c r="TTI74" s="800"/>
      <c r="TTJ74" s="800"/>
      <c r="TTK74" s="705"/>
      <c r="TTL74" s="799"/>
      <c r="TTM74" s="800"/>
      <c r="TTN74" s="800"/>
      <c r="TTO74" s="800"/>
      <c r="TTP74" s="800"/>
      <c r="TTQ74" s="800"/>
      <c r="TTR74" s="705"/>
      <c r="TTS74" s="799"/>
      <c r="TTT74" s="800"/>
      <c r="TTU74" s="800"/>
      <c r="TTV74" s="800"/>
      <c r="TTW74" s="800"/>
      <c r="TTX74" s="800"/>
      <c r="TTY74" s="705"/>
      <c r="TTZ74" s="799"/>
      <c r="TUA74" s="800"/>
      <c r="TUB74" s="800"/>
      <c r="TUC74" s="800"/>
      <c r="TUD74" s="800"/>
      <c r="TUE74" s="800"/>
      <c r="TUF74" s="705"/>
      <c r="TUG74" s="799"/>
      <c r="TUH74" s="800"/>
      <c r="TUI74" s="800"/>
      <c r="TUJ74" s="800"/>
      <c r="TUK74" s="800"/>
      <c r="TUL74" s="800"/>
      <c r="TUM74" s="705"/>
      <c r="TUN74" s="799"/>
      <c r="TUO74" s="800"/>
      <c r="TUP74" s="800"/>
      <c r="TUQ74" s="800"/>
      <c r="TUR74" s="800"/>
      <c r="TUS74" s="800"/>
      <c r="TUT74" s="705"/>
      <c r="TUU74" s="799"/>
      <c r="TUV74" s="800"/>
      <c r="TUW74" s="800"/>
      <c r="TUX74" s="800"/>
      <c r="TUY74" s="800"/>
      <c r="TUZ74" s="800"/>
      <c r="TVA74" s="705"/>
      <c r="TVB74" s="799"/>
      <c r="TVC74" s="800"/>
      <c r="TVD74" s="800"/>
      <c r="TVE74" s="800"/>
      <c r="TVF74" s="800"/>
      <c r="TVG74" s="800"/>
      <c r="TVH74" s="705"/>
      <c r="TVI74" s="799"/>
      <c r="TVJ74" s="800"/>
      <c r="TVK74" s="800"/>
      <c r="TVL74" s="800"/>
      <c r="TVM74" s="800"/>
      <c r="TVN74" s="800"/>
      <c r="TVO74" s="705"/>
      <c r="TVP74" s="799"/>
      <c r="TVQ74" s="800"/>
      <c r="TVR74" s="800"/>
      <c r="TVS74" s="800"/>
      <c r="TVT74" s="800"/>
      <c r="TVU74" s="800"/>
      <c r="TVV74" s="705"/>
      <c r="TVW74" s="799"/>
      <c r="TVX74" s="800"/>
      <c r="TVY74" s="800"/>
      <c r="TVZ74" s="800"/>
      <c r="TWA74" s="800"/>
      <c r="TWB74" s="800"/>
      <c r="TWC74" s="705"/>
      <c r="TWD74" s="799"/>
      <c r="TWE74" s="800"/>
      <c r="TWF74" s="800"/>
      <c r="TWG74" s="800"/>
      <c r="TWH74" s="800"/>
      <c r="TWI74" s="800"/>
      <c r="TWJ74" s="705"/>
      <c r="TWK74" s="799"/>
      <c r="TWL74" s="800"/>
      <c r="TWM74" s="800"/>
      <c r="TWN74" s="800"/>
      <c r="TWO74" s="800"/>
      <c r="TWP74" s="800"/>
      <c r="TWQ74" s="705"/>
      <c r="TWR74" s="799"/>
      <c r="TWS74" s="800"/>
      <c r="TWT74" s="800"/>
      <c r="TWU74" s="800"/>
      <c r="TWV74" s="800"/>
      <c r="TWW74" s="800"/>
      <c r="TWX74" s="705"/>
      <c r="TWY74" s="799"/>
      <c r="TWZ74" s="800"/>
      <c r="TXA74" s="800"/>
      <c r="TXB74" s="800"/>
      <c r="TXC74" s="800"/>
      <c r="TXD74" s="800"/>
      <c r="TXE74" s="705"/>
      <c r="TXF74" s="799"/>
      <c r="TXG74" s="800"/>
      <c r="TXH74" s="800"/>
      <c r="TXI74" s="800"/>
      <c r="TXJ74" s="800"/>
      <c r="TXK74" s="800"/>
      <c r="TXL74" s="705"/>
      <c r="TXM74" s="799"/>
      <c r="TXN74" s="800"/>
      <c r="TXO74" s="800"/>
      <c r="TXP74" s="800"/>
      <c r="TXQ74" s="800"/>
      <c r="TXR74" s="800"/>
      <c r="TXS74" s="705"/>
      <c r="TXT74" s="799"/>
      <c r="TXU74" s="800"/>
      <c r="TXV74" s="800"/>
      <c r="TXW74" s="800"/>
      <c r="TXX74" s="800"/>
      <c r="TXY74" s="800"/>
      <c r="TXZ74" s="705"/>
      <c r="TYA74" s="799"/>
      <c r="TYB74" s="800"/>
      <c r="TYC74" s="800"/>
      <c r="TYD74" s="800"/>
      <c r="TYE74" s="800"/>
      <c r="TYF74" s="800"/>
      <c r="TYG74" s="705"/>
      <c r="TYH74" s="799"/>
      <c r="TYI74" s="800"/>
      <c r="TYJ74" s="800"/>
      <c r="TYK74" s="800"/>
      <c r="TYL74" s="800"/>
      <c r="TYM74" s="800"/>
      <c r="TYN74" s="705"/>
      <c r="TYO74" s="799"/>
      <c r="TYP74" s="800"/>
      <c r="TYQ74" s="800"/>
      <c r="TYR74" s="800"/>
      <c r="TYS74" s="800"/>
      <c r="TYT74" s="800"/>
      <c r="TYU74" s="705"/>
      <c r="TYV74" s="799"/>
      <c r="TYW74" s="800"/>
      <c r="TYX74" s="800"/>
      <c r="TYY74" s="800"/>
      <c r="TYZ74" s="800"/>
      <c r="TZA74" s="800"/>
      <c r="TZB74" s="705"/>
      <c r="TZC74" s="799"/>
      <c r="TZD74" s="800"/>
      <c r="TZE74" s="800"/>
      <c r="TZF74" s="800"/>
      <c r="TZG74" s="800"/>
      <c r="TZH74" s="800"/>
      <c r="TZI74" s="705"/>
      <c r="TZJ74" s="799"/>
      <c r="TZK74" s="800"/>
      <c r="TZL74" s="800"/>
      <c r="TZM74" s="800"/>
      <c r="TZN74" s="800"/>
      <c r="TZO74" s="800"/>
      <c r="TZP74" s="705"/>
      <c r="TZQ74" s="799"/>
      <c r="TZR74" s="800"/>
      <c r="TZS74" s="800"/>
      <c r="TZT74" s="800"/>
      <c r="TZU74" s="800"/>
      <c r="TZV74" s="800"/>
      <c r="TZW74" s="705"/>
      <c r="TZX74" s="799"/>
      <c r="TZY74" s="800"/>
      <c r="TZZ74" s="800"/>
      <c r="UAA74" s="800"/>
      <c r="UAB74" s="800"/>
      <c r="UAC74" s="800"/>
      <c r="UAD74" s="705"/>
      <c r="UAE74" s="799"/>
      <c r="UAF74" s="800"/>
      <c r="UAG74" s="800"/>
      <c r="UAH74" s="800"/>
      <c r="UAI74" s="800"/>
      <c r="UAJ74" s="800"/>
      <c r="UAK74" s="705"/>
      <c r="UAL74" s="799"/>
      <c r="UAM74" s="800"/>
      <c r="UAN74" s="800"/>
      <c r="UAO74" s="800"/>
      <c r="UAP74" s="800"/>
      <c r="UAQ74" s="800"/>
      <c r="UAR74" s="705"/>
      <c r="UAS74" s="799"/>
      <c r="UAT74" s="800"/>
      <c r="UAU74" s="800"/>
      <c r="UAV74" s="800"/>
      <c r="UAW74" s="800"/>
      <c r="UAX74" s="800"/>
      <c r="UAY74" s="705"/>
      <c r="UAZ74" s="799"/>
      <c r="UBA74" s="800"/>
      <c r="UBB74" s="800"/>
      <c r="UBC74" s="800"/>
      <c r="UBD74" s="800"/>
      <c r="UBE74" s="800"/>
      <c r="UBF74" s="705"/>
      <c r="UBG74" s="799"/>
      <c r="UBH74" s="800"/>
      <c r="UBI74" s="800"/>
      <c r="UBJ74" s="800"/>
      <c r="UBK74" s="800"/>
      <c r="UBL74" s="800"/>
      <c r="UBM74" s="705"/>
      <c r="UBN74" s="799"/>
      <c r="UBO74" s="800"/>
      <c r="UBP74" s="800"/>
      <c r="UBQ74" s="800"/>
      <c r="UBR74" s="800"/>
      <c r="UBS74" s="800"/>
      <c r="UBT74" s="705"/>
      <c r="UBU74" s="799"/>
      <c r="UBV74" s="800"/>
      <c r="UBW74" s="800"/>
      <c r="UBX74" s="800"/>
      <c r="UBY74" s="800"/>
      <c r="UBZ74" s="800"/>
      <c r="UCA74" s="705"/>
      <c r="UCB74" s="799"/>
      <c r="UCC74" s="800"/>
      <c r="UCD74" s="800"/>
      <c r="UCE74" s="800"/>
      <c r="UCF74" s="800"/>
      <c r="UCG74" s="800"/>
      <c r="UCH74" s="705"/>
      <c r="UCI74" s="799"/>
      <c r="UCJ74" s="800"/>
      <c r="UCK74" s="800"/>
      <c r="UCL74" s="800"/>
      <c r="UCM74" s="800"/>
      <c r="UCN74" s="800"/>
      <c r="UCO74" s="705"/>
      <c r="UCP74" s="799"/>
      <c r="UCQ74" s="800"/>
      <c r="UCR74" s="800"/>
      <c r="UCS74" s="800"/>
      <c r="UCT74" s="800"/>
      <c r="UCU74" s="800"/>
      <c r="UCV74" s="705"/>
      <c r="UCW74" s="799"/>
      <c r="UCX74" s="800"/>
      <c r="UCY74" s="800"/>
      <c r="UCZ74" s="800"/>
      <c r="UDA74" s="800"/>
      <c r="UDB74" s="800"/>
      <c r="UDC74" s="705"/>
      <c r="UDD74" s="799"/>
      <c r="UDE74" s="800"/>
      <c r="UDF74" s="800"/>
      <c r="UDG74" s="800"/>
      <c r="UDH74" s="800"/>
      <c r="UDI74" s="800"/>
      <c r="UDJ74" s="705"/>
      <c r="UDK74" s="799"/>
      <c r="UDL74" s="800"/>
      <c r="UDM74" s="800"/>
      <c r="UDN74" s="800"/>
      <c r="UDO74" s="800"/>
      <c r="UDP74" s="800"/>
      <c r="UDQ74" s="705"/>
      <c r="UDR74" s="799"/>
      <c r="UDS74" s="800"/>
      <c r="UDT74" s="800"/>
      <c r="UDU74" s="800"/>
      <c r="UDV74" s="800"/>
      <c r="UDW74" s="800"/>
      <c r="UDX74" s="705"/>
      <c r="UDY74" s="799"/>
      <c r="UDZ74" s="800"/>
      <c r="UEA74" s="800"/>
      <c r="UEB74" s="800"/>
      <c r="UEC74" s="800"/>
      <c r="UED74" s="800"/>
      <c r="UEE74" s="705"/>
      <c r="UEF74" s="799"/>
      <c r="UEG74" s="800"/>
      <c r="UEH74" s="800"/>
      <c r="UEI74" s="800"/>
      <c r="UEJ74" s="800"/>
      <c r="UEK74" s="800"/>
      <c r="UEL74" s="705"/>
      <c r="UEM74" s="799"/>
      <c r="UEN74" s="800"/>
      <c r="UEO74" s="800"/>
      <c r="UEP74" s="800"/>
      <c r="UEQ74" s="800"/>
      <c r="UER74" s="800"/>
      <c r="UES74" s="705"/>
      <c r="UET74" s="799"/>
      <c r="UEU74" s="800"/>
      <c r="UEV74" s="800"/>
      <c r="UEW74" s="800"/>
      <c r="UEX74" s="800"/>
      <c r="UEY74" s="800"/>
      <c r="UEZ74" s="705"/>
      <c r="UFA74" s="799"/>
      <c r="UFB74" s="800"/>
      <c r="UFC74" s="800"/>
      <c r="UFD74" s="800"/>
      <c r="UFE74" s="800"/>
      <c r="UFF74" s="800"/>
      <c r="UFG74" s="705"/>
      <c r="UFH74" s="799"/>
      <c r="UFI74" s="800"/>
      <c r="UFJ74" s="800"/>
      <c r="UFK74" s="800"/>
      <c r="UFL74" s="800"/>
      <c r="UFM74" s="800"/>
      <c r="UFN74" s="705"/>
      <c r="UFO74" s="799"/>
      <c r="UFP74" s="800"/>
      <c r="UFQ74" s="800"/>
      <c r="UFR74" s="800"/>
      <c r="UFS74" s="800"/>
      <c r="UFT74" s="800"/>
      <c r="UFU74" s="705"/>
      <c r="UFV74" s="799"/>
      <c r="UFW74" s="800"/>
      <c r="UFX74" s="800"/>
      <c r="UFY74" s="800"/>
      <c r="UFZ74" s="800"/>
      <c r="UGA74" s="800"/>
      <c r="UGB74" s="705"/>
      <c r="UGC74" s="799"/>
      <c r="UGD74" s="800"/>
      <c r="UGE74" s="800"/>
      <c r="UGF74" s="800"/>
      <c r="UGG74" s="800"/>
      <c r="UGH74" s="800"/>
      <c r="UGI74" s="705"/>
      <c r="UGJ74" s="799"/>
      <c r="UGK74" s="800"/>
      <c r="UGL74" s="800"/>
      <c r="UGM74" s="800"/>
      <c r="UGN74" s="800"/>
      <c r="UGO74" s="800"/>
      <c r="UGP74" s="705"/>
      <c r="UGQ74" s="799"/>
      <c r="UGR74" s="800"/>
      <c r="UGS74" s="800"/>
      <c r="UGT74" s="800"/>
      <c r="UGU74" s="800"/>
      <c r="UGV74" s="800"/>
      <c r="UGW74" s="705"/>
      <c r="UGX74" s="799"/>
      <c r="UGY74" s="800"/>
      <c r="UGZ74" s="800"/>
      <c r="UHA74" s="800"/>
      <c r="UHB74" s="800"/>
      <c r="UHC74" s="800"/>
      <c r="UHD74" s="705"/>
      <c r="UHE74" s="799"/>
      <c r="UHF74" s="800"/>
      <c r="UHG74" s="800"/>
      <c r="UHH74" s="800"/>
      <c r="UHI74" s="800"/>
      <c r="UHJ74" s="800"/>
      <c r="UHK74" s="705"/>
      <c r="UHL74" s="799"/>
      <c r="UHM74" s="800"/>
      <c r="UHN74" s="800"/>
      <c r="UHO74" s="800"/>
      <c r="UHP74" s="800"/>
      <c r="UHQ74" s="800"/>
      <c r="UHR74" s="705"/>
      <c r="UHS74" s="799"/>
      <c r="UHT74" s="800"/>
      <c r="UHU74" s="800"/>
      <c r="UHV74" s="800"/>
      <c r="UHW74" s="800"/>
      <c r="UHX74" s="800"/>
      <c r="UHY74" s="705"/>
      <c r="UHZ74" s="799"/>
      <c r="UIA74" s="800"/>
      <c r="UIB74" s="800"/>
      <c r="UIC74" s="800"/>
      <c r="UID74" s="800"/>
      <c r="UIE74" s="800"/>
      <c r="UIF74" s="705"/>
      <c r="UIG74" s="799"/>
      <c r="UIH74" s="800"/>
      <c r="UII74" s="800"/>
      <c r="UIJ74" s="800"/>
      <c r="UIK74" s="800"/>
      <c r="UIL74" s="800"/>
      <c r="UIM74" s="705"/>
      <c r="UIN74" s="799"/>
      <c r="UIO74" s="800"/>
      <c r="UIP74" s="800"/>
      <c r="UIQ74" s="800"/>
      <c r="UIR74" s="800"/>
      <c r="UIS74" s="800"/>
      <c r="UIT74" s="705"/>
      <c r="UIU74" s="799"/>
      <c r="UIV74" s="800"/>
      <c r="UIW74" s="800"/>
      <c r="UIX74" s="800"/>
      <c r="UIY74" s="800"/>
      <c r="UIZ74" s="800"/>
      <c r="UJA74" s="705"/>
      <c r="UJB74" s="799"/>
      <c r="UJC74" s="800"/>
      <c r="UJD74" s="800"/>
      <c r="UJE74" s="800"/>
      <c r="UJF74" s="800"/>
      <c r="UJG74" s="800"/>
      <c r="UJH74" s="705"/>
      <c r="UJI74" s="799"/>
      <c r="UJJ74" s="800"/>
      <c r="UJK74" s="800"/>
      <c r="UJL74" s="800"/>
      <c r="UJM74" s="800"/>
      <c r="UJN74" s="800"/>
      <c r="UJO74" s="705"/>
      <c r="UJP74" s="799"/>
      <c r="UJQ74" s="800"/>
      <c r="UJR74" s="800"/>
      <c r="UJS74" s="800"/>
      <c r="UJT74" s="800"/>
      <c r="UJU74" s="800"/>
      <c r="UJV74" s="705"/>
      <c r="UJW74" s="799"/>
      <c r="UJX74" s="800"/>
      <c r="UJY74" s="800"/>
      <c r="UJZ74" s="800"/>
      <c r="UKA74" s="800"/>
      <c r="UKB74" s="800"/>
      <c r="UKC74" s="705"/>
      <c r="UKD74" s="799"/>
      <c r="UKE74" s="800"/>
      <c r="UKF74" s="800"/>
      <c r="UKG74" s="800"/>
      <c r="UKH74" s="800"/>
      <c r="UKI74" s="800"/>
      <c r="UKJ74" s="705"/>
      <c r="UKK74" s="799"/>
      <c r="UKL74" s="800"/>
      <c r="UKM74" s="800"/>
      <c r="UKN74" s="800"/>
      <c r="UKO74" s="800"/>
      <c r="UKP74" s="800"/>
      <c r="UKQ74" s="705"/>
      <c r="UKR74" s="799"/>
      <c r="UKS74" s="800"/>
      <c r="UKT74" s="800"/>
      <c r="UKU74" s="800"/>
      <c r="UKV74" s="800"/>
      <c r="UKW74" s="800"/>
      <c r="UKX74" s="705"/>
      <c r="UKY74" s="799"/>
      <c r="UKZ74" s="800"/>
      <c r="ULA74" s="800"/>
      <c r="ULB74" s="800"/>
      <c r="ULC74" s="800"/>
      <c r="ULD74" s="800"/>
      <c r="ULE74" s="705"/>
      <c r="ULF74" s="799"/>
      <c r="ULG74" s="800"/>
      <c r="ULH74" s="800"/>
      <c r="ULI74" s="800"/>
      <c r="ULJ74" s="800"/>
      <c r="ULK74" s="800"/>
      <c r="ULL74" s="705"/>
      <c r="ULM74" s="799"/>
      <c r="ULN74" s="800"/>
      <c r="ULO74" s="800"/>
      <c r="ULP74" s="800"/>
      <c r="ULQ74" s="800"/>
      <c r="ULR74" s="800"/>
      <c r="ULS74" s="705"/>
      <c r="ULT74" s="799"/>
      <c r="ULU74" s="800"/>
      <c r="ULV74" s="800"/>
      <c r="ULW74" s="800"/>
      <c r="ULX74" s="800"/>
      <c r="ULY74" s="800"/>
      <c r="ULZ74" s="705"/>
      <c r="UMA74" s="799"/>
      <c r="UMB74" s="800"/>
      <c r="UMC74" s="800"/>
      <c r="UMD74" s="800"/>
      <c r="UME74" s="800"/>
      <c r="UMF74" s="800"/>
      <c r="UMG74" s="705"/>
      <c r="UMH74" s="799"/>
      <c r="UMI74" s="800"/>
      <c r="UMJ74" s="800"/>
      <c r="UMK74" s="800"/>
      <c r="UML74" s="800"/>
      <c r="UMM74" s="800"/>
      <c r="UMN74" s="705"/>
      <c r="UMO74" s="799"/>
      <c r="UMP74" s="800"/>
      <c r="UMQ74" s="800"/>
      <c r="UMR74" s="800"/>
      <c r="UMS74" s="800"/>
      <c r="UMT74" s="800"/>
      <c r="UMU74" s="705"/>
      <c r="UMV74" s="799"/>
      <c r="UMW74" s="800"/>
      <c r="UMX74" s="800"/>
      <c r="UMY74" s="800"/>
      <c r="UMZ74" s="800"/>
      <c r="UNA74" s="800"/>
      <c r="UNB74" s="705"/>
      <c r="UNC74" s="799"/>
      <c r="UND74" s="800"/>
      <c r="UNE74" s="800"/>
      <c r="UNF74" s="800"/>
      <c r="UNG74" s="800"/>
      <c r="UNH74" s="800"/>
      <c r="UNI74" s="705"/>
      <c r="UNJ74" s="799"/>
      <c r="UNK74" s="800"/>
      <c r="UNL74" s="800"/>
      <c r="UNM74" s="800"/>
      <c r="UNN74" s="800"/>
      <c r="UNO74" s="800"/>
      <c r="UNP74" s="705"/>
      <c r="UNQ74" s="799"/>
      <c r="UNR74" s="800"/>
      <c r="UNS74" s="800"/>
      <c r="UNT74" s="800"/>
      <c r="UNU74" s="800"/>
      <c r="UNV74" s="800"/>
      <c r="UNW74" s="705"/>
      <c r="UNX74" s="799"/>
      <c r="UNY74" s="800"/>
      <c r="UNZ74" s="800"/>
      <c r="UOA74" s="800"/>
      <c r="UOB74" s="800"/>
      <c r="UOC74" s="800"/>
      <c r="UOD74" s="705"/>
      <c r="UOE74" s="799"/>
      <c r="UOF74" s="800"/>
      <c r="UOG74" s="800"/>
      <c r="UOH74" s="800"/>
      <c r="UOI74" s="800"/>
      <c r="UOJ74" s="800"/>
      <c r="UOK74" s="705"/>
      <c r="UOL74" s="799"/>
      <c r="UOM74" s="800"/>
      <c r="UON74" s="800"/>
      <c r="UOO74" s="800"/>
      <c r="UOP74" s="800"/>
      <c r="UOQ74" s="800"/>
      <c r="UOR74" s="705"/>
      <c r="UOS74" s="799"/>
      <c r="UOT74" s="800"/>
      <c r="UOU74" s="800"/>
      <c r="UOV74" s="800"/>
      <c r="UOW74" s="800"/>
      <c r="UOX74" s="800"/>
      <c r="UOY74" s="705"/>
      <c r="UOZ74" s="799"/>
      <c r="UPA74" s="800"/>
      <c r="UPB74" s="800"/>
      <c r="UPC74" s="800"/>
      <c r="UPD74" s="800"/>
      <c r="UPE74" s="800"/>
      <c r="UPF74" s="705"/>
      <c r="UPG74" s="799"/>
      <c r="UPH74" s="800"/>
      <c r="UPI74" s="800"/>
      <c r="UPJ74" s="800"/>
      <c r="UPK74" s="800"/>
      <c r="UPL74" s="800"/>
      <c r="UPM74" s="705"/>
      <c r="UPN74" s="799"/>
      <c r="UPO74" s="800"/>
      <c r="UPP74" s="800"/>
      <c r="UPQ74" s="800"/>
      <c r="UPR74" s="800"/>
      <c r="UPS74" s="800"/>
      <c r="UPT74" s="705"/>
      <c r="UPU74" s="799"/>
      <c r="UPV74" s="800"/>
      <c r="UPW74" s="800"/>
      <c r="UPX74" s="800"/>
      <c r="UPY74" s="800"/>
      <c r="UPZ74" s="800"/>
      <c r="UQA74" s="705"/>
      <c r="UQB74" s="799"/>
      <c r="UQC74" s="800"/>
      <c r="UQD74" s="800"/>
      <c r="UQE74" s="800"/>
      <c r="UQF74" s="800"/>
      <c r="UQG74" s="800"/>
      <c r="UQH74" s="705"/>
      <c r="UQI74" s="799"/>
      <c r="UQJ74" s="800"/>
      <c r="UQK74" s="800"/>
      <c r="UQL74" s="800"/>
      <c r="UQM74" s="800"/>
      <c r="UQN74" s="800"/>
      <c r="UQO74" s="705"/>
      <c r="UQP74" s="799"/>
      <c r="UQQ74" s="800"/>
      <c r="UQR74" s="800"/>
      <c r="UQS74" s="800"/>
      <c r="UQT74" s="800"/>
      <c r="UQU74" s="800"/>
      <c r="UQV74" s="705"/>
      <c r="UQW74" s="799"/>
      <c r="UQX74" s="800"/>
      <c r="UQY74" s="800"/>
      <c r="UQZ74" s="800"/>
      <c r="URA74" s="800"/>
      <c r="URB74" s="800"/>
      <c r="URC74" s="705"/>
      <c r="URD74" s="799"/>
      <c r="URE74" s="800"/>
      <c r="URF74" s="800"/>
      <c r="URG74" s="800"/>
      <c r="URH74" s="800"/>
      <c r="URI74" s="800"/>
      <c r="URJ74" s="705"/>
      <c r="URK74" s="799"/>
      <c r="URL74" s="800"/>
      <c r="URM74" s="800"/>
      <c r="URN74" s="800"/>
      <c r="URO74" s="800"/>
      <c r="URP74" s="800"/>
      <c r="URQ74" s="705"/>
      <c r="URR74" s="799"/>
      <c r="URS74" s="800"/>
      <c r="URT74" s="800"/>
      <c r="URU74" s="800"/>
      <c r="URV74" s="800"/>
      <c r="URW74" s="800"/>
      <c r="URX74" s="705"/>
      <c r="URY74" s="799"/>
      <c r="URZ74" s="800"/>
      <c r="USA74" s="800"/>
      <c r="USB74" s="800"/>
      <c r="USC74" s="800"/>
      <c r="USD74" s="800"/>
      <c r="USE74" s="705"/>
      <c r="USF74" s="799"/>
      <c r="USG74" s="800"/>
      <c r="USH74" s="800"/>
      <c r="USI74" s="800"/>
      <c r="USJ74" s="800"/>
      <c r="USK74" s="800"/>
      <c r="USL74" s="705"/>
      <c r="USM74" s="799"/>
      <c r="USN74" s="800"/>
      <c r="USO74" s="800"/>
      <c r="USP74" s="800"/>
      <c r="USQ74" s="800"/>
      <c r="USR74" s="800"/>
      <c r="USS74" s="705"/>
      <c r="UST74" s="799"/>
      <c r="USU74" s="800"/>
      <c r="USV74" s="800"/>
      <c r="USW74" s="800"/>
      <c r="USX74" s="800"/>
      <c r="USY74" s="800"/>
      <c r="USZ74" s="705"/>
      <c r="UTA74" s="799"/>
      <c r="UTB74" s="800"/>
      <c r="UTC74" s="800"/>
      <c r="UTD74" s="800"/>
      <c r="UTE74" s="800"/>
      <c r="UTF74" s="800"/>
      <c r="UTG74" s="705"/>
      <c r="UTH74" s="799"/>
      <c r="UTI74" s="800"/>
      <c r="UTJ74" s="800"/>
      <c r="UTK74" s="800"/>
      <c r="UTL74" s="800"/>
      <c r="UTM74" s="800"/>
      <c r="UTN74" s="705"/>
      <c r="UTO74" s="799"/>
      <c r="UTP74" s="800"/>
      <c r="UTQ74" s="800"/>
      <c r="UTR74" s="800"/>
      <c r="UTS74" s="800"/>
      <c r="UTT74" s="800"/>
      <c r="UTU74" s="705"/>
      <c r="UTV74" s="799"/>
      <c r="UTW74" s="800"/>
      <c r="UTX74" s="800"/>
      <c r="UTY74" s="800"/>
      <c r="UTZ74" s="800"/>
      <c r="UUA74" s="800"/>
      <c r="UUB74" s="705"/>
      <c r="UUC74" s="799"/>
      <c r="UUD74" s="800"/>
      <c r="UUE74" s="800"/>
      <c r="UUF74" s="800"/>
      <c r="UUG74" s="800"/>
      <c r="UUH74" s="800"/>
      <c r="UUI74" s="705"/>
      <c r="UUJ74" s="799"/>
      <c r="UUK74" s="800"/>
      <c r="UUL74" s="800"/>
      <c r="UUM74" s="800"/>
      <c r="UUN74" s="800"/>
      <c r="UUO74" s="800"/>
      <c r="UUP74" s="705"/>
      <c r="UUQ74" s="799"/>
      <c r="UUR74" s="800"/>
      <c r="UUS74" s="800"/>
      <c r="UUT74" s="800"/>
      <c r="UUU74" s="800"/>
      <c r="UUV74" s="800"/>
      <c r="UUW74" s="705"/>
      <c r="UUX74" s="799"/>
      <c r="UUY74" s="800"/>
      <c r="UUZ74" s="800"/>
      <c r="UVA74" s="800"/>
      <c r="UVB74" s="800"/>
      <c r="UVC74" s="800"/>
      <c r="UVD74" s="705"/>
      <c r="UVE74" s="799"/>
      <c r="UVF74" s="800"/>
      <c r="UVG74" s="800"/>
      <c r="UVH74" s="800"/>
      <c r="UVI74" s="800"/>
      <c r="UVJ74" s="800"/>
      <c r="UVK74" s="705"/>
      <c r="UVL74" s="799"/>
      <c r="UVM74" s="800"/>
      <c r="UVN74" s="800"/>
      <c r="UVO74" s="800"/>
      <c r="UVP74" s="800"/>
      <c r="UVQ74" s="800"/>
      <c r="UVR74" s="705"/>
      <c r="UVS74" s="799"/>
      <c r="UVT74" s="800"/>
      <c r="UVU74" s="800"/>
      <c r="UVV74" s="800"/>
      <c r="UVW74" s="800"/>
      <c r="UVX74" s="800"/>
      <c r="UVY74" s="705"/>
      <c r="UVZ74" s="799"/>
      <c r="UWA74" s="800"/>
      <c r="UWB74" s="800"/>
      <c r="UWC74" s="800"/>
      <c r="UWD74" s="800"/>
      <c r="UWE74" s="800"/>
      <c r="UWF74" s="705"/>
      <c r="UWG74" s="799"/>
      <c r="UWH74" s="800"/>
      <c r="UWI74" s="800"/>
      <c r="UWJ74" s="800"/>
      <c r="UWK74" s="800"/>
      <c r="UWL74" s="800"/>
      <c r="UWM74" s="705"/>
      <c r="UWN74" s="799"/>
      <c r="UWO74" s="800"/>
      <c r="UWP74" s="800"/>
      <c r="UWQ74" s="800"/>
      <c r="UWR74" s="800"/>
      <c r="UWS74" s="800"/>
      <c r="UWT74" s="705"/>
      <c r="UWU74" s="799"/>
      <c r="UWV74" s="800"/>
      <c r="UWW74" s="800"/>
      <c r="UWX74" s="800"/>
      <c r="UWY74" s="800"/>
      <c r="UWZ74" s="800"/>
      <c r="UXA74" s="705"/>
      <c r="UXB74" s="799"/>
      <c r="UXC74" s="800"/>
      <c r="UXD74" s="800"/>
      <c r="UXE74" s="800"/>
      <c r="UXF74" s="800"/>
      <c r="UXG74" s="800"/>
      <c r="UXH74" s="705"/>
      <c r="UXI74" s="799"/>
      <c r="UXJ74" s="800"/>
      <c r="UXK74" s="800"/>
      <c r="UXL74" s="800"/>
      <c r="UXM74" s="800"/>
      <c r="UXN74" s="800"/>
      <c r="UXO74" s="705"/>
      <c r="UXP74" s="799"/>
      <c r="UXQ74" s="800"/>
      <c r="UXR74" s="800"/>
      <c r="UXS74" s="800"/>
      <c r="UXT74" s="800"/>
      <c r="UXU74" s="800"/>
      <c r="UXV74" s="705"/>
      <c r="UXW74" s="799"/>
      <c r="UXX74" s="800"/>
      <c r="UXY74" s="800"/>
      <c r="UXZ74" s="800"/>
      <c r="UYA74" s="800"/>
      <c r="UYB74" s="800"/>
      <c r="UYC74" s="705"/>
      <c r="UYD74" s="799"/>
      <c r="UYE74" s="800"/>
      <c r="UYF74" s="800"/>
      <c r="UYG74" s="800"/>
      <c r="UYH74" s="800"/>
      <c r="UYI74" s="800"/>
      <c r="UYJ74" s="705"/>
      <c r="UYK74" s="799"/>
      <c r="UYL74" s="800"/>
      <c r="UYM74" s="800"/>
      <c r="UYN74" s="800"/>
      <c r="UYO74" s="800"/>
      <c r="UYP74" s="800"/>
      <c r="UYQ74" s="705"/>
      <c r="UYR74" s="799"/>
      <c r="UYS74" s="800"/>
      <c r="UYT74" s="800"/>
      <c r="UYU74" s="800"/>
      <c r="UYV74" s="800"/>
      <c r="UYW74" s="800"/>
      <c r="UYX74" s="705"/>
      <c r="UYY74" s="799"/>
      <c r="UYZ74" s="800"/>
      <c r="UZA74" s="800"/>
      <c r="UZB74" s="800"/>
      <c r="UZC74" s="800"/>
      <c r="UZD74" s="800"/>
      <c r="UZE74" s="705"/>
      <c r="UZF74" s="799"/>
      <c r="UZG74" s="800"/>
      <c r="UZH74" s="800"/>
      <c r="UZI74" s="800"/>
      <c r="UZJ74" s="800"/>
      <c r="UZK74" s="800"/>
      <c r="UZL74" s="705"/>
      <c r="UZM74" s="799"/>
      <c r="UZN74" s="800"/>
      <c r="UZO74" s="800"/>
      <c r="UZP74" s="800"/>
      <c r="UZQ74" s="800"/>
      <c r="UZR74" s="800"/>
      <c r="UZS74" s="705"/>
      <c r="UZT74" s="799"/>
      <c r="UZU74" s="800"/>
      <c r="UZV74" s="800"/>
      <c r="UZW74" s="800"/>
      <c r="UZX74" s="800"/>
      <c r="UZY74" s="800"/>
      <c r="UZZ74" s="705"/>
      <c r="VAA74" s="799"/>
      <c r="VAB74" s="800"/>
      <c r="VAC74" s="800"/>
      <c r="VAD74" s="800"/>
      <c r="VAE74" s="800"/>
      <c r="VAF74" s="800"/>
      <c r="VAG74" s="705"/>
      <c r="VAH74" s="799"/>
      <c r="VAI74" s="800"/>
      <c r="VAJ74" s="800"/>
      <c r="VAK74" s="800"/>
      <c r="VAL74" s="800"/>
      <c r="VAM74" s="800"/>
      <c r="VAN74" s="705"/>
      <c r="VAO74" s="799"/>
      <c r="VAP74" s="800"/>
      <c r="VAQ74" s="800"/>
      <c r="VAR74" s="800"/>
      <c r="VAS74" s="800"/>
      <c r="VAT74" s="800"/>
      <c r="VAU74" s="705"/>
      <c r="VAV74" s="799"/>
      <c r="VAW74" s="800"/>
      <c r="VAX74" s="800"/>
      <c r="VAY74" s="800"/>
      <c r="VAZ74" s="800"/>
      <c r="VBA74" s="800"/>
      <c r="VBB74" s="705"/>
      <c r="VBC74" s="799"/>
      <c r="VBD74" s="800"/>
      <c r="VBE74" s="800"/>
      <c r="VBF74" s="800"/>
      <c r="VBG74" s="800"/>
      <c r="VBH74" s="800"/>
      <c r="VBI74" s="705"/>
      <c r="VBJ74" s="799"/>
      <c r="VBK74" s="800"/>
      <c r="VBL74" s="800"/>
      <c r="VBM74" s="800"/>
      <c r="VBN74" s="800"/>
      <c r="VBO74" s="800"/>
      <c r="VBP74" s="705"/>
      <c r="VBQ74" s="799"/>
      <c r="VBR74" s="800"/>
      <c r="VBS74" s="800"/>
      <c r="VBT74" s="800"/>
      <c r="VBU74" s="800"/>
      <c r="VBV74" s="800"/>
      <c r="VBW74" s="705"/>
      <c r="VBX74" s="799"/>
      <c r="VBY74" s="800"/>
      <c r="VBZ74" s="800"/>
      <c r="VCA74" s="800"/>
      <c r="VCB74" s="800"/>
      <c r="VCC74" s="800"/>
      <c r="VCD74" s="705"/>
      <c r="VCE74" s="799"/>
      <c r="VCF74" s="800"/>
      <c r="VCG74" s="800"/>
      <c r="VCH74" s="800"/>
      <c r="VCI74" s="800"/>
      <c r="VCJ74" s="800"/>
      <c r="VCK74" s="705"/>
      <c r="VCL74" s="799"/>
      <c r="VCM74" s="800"/>
      <c r="VCN74" s="800"/>
      <c r="VCO74" s="800"/>
      <c r="VCP74" s="800"/>
      <c r="VCQ74" s="800"/>
      <c r="VCR74" s="705"/>
      <c r="VCS74" s="799"/>
      <c r="VCT74" s="800"/>
      <c r="VCU74" s="800"/>
      <c r="VCV74" s="800"/>
      <c r="VCW74" s="800"/>
      <c r="VCX74" s="800"/>
      <c r="VCY74" s="705"/>
      <c r="VCZ74" s="799"/>
      <c r="VDA74" s="800"/>
      <c r="VDB74" s="800"/>
      <c r="VDC74" s="800"/>
      <c r="VDD74" s="800"/>
      <c r="VDE74" s="800"/>
      <c r="VDF74" s="705"/>
      <c r="VDG74" s="799"/>
      <c r="VDH74" s="800"/>
      <c r="VDI74" s="800"/>
      <c r="VDJ74" s="800"/>
      <c r="VDK74" s="800"/>
      <c r="VDL74" s="800"/>
      <c r="VDM74" s="705"/>
      <c r="VDN74" s="799"/>
      <c r="VDO74" s="800"/>
      <c r="VDP74" s="800"/>
      <c r="VDQ74" s="800"/>
      <c r="VDR74" s="800"/>
      <c r="VDS74" s="800"/>
      <c r="VDT74" s="705"/>
      <c r="VDU74" s="799"/>
      <c r="VDV74" s="800"/>
      <c r="VDW74" s="800"/>
      <c r="VDX74" s="800"/>
      <c r="VDY74" s="800"/>
      <c r="VDZ74" s="800"/>
      <c r="VEA74" s="705"/>
      <c r="VEB74" s="799"/>
      <c r="VEC74" s="800"/>
      <c r="VED74" s="800"/>
      <c r="VEE74" s="800"/>
      <c r="VEF74" s="800"/>
      <c r="VEG74" s="800"/>
      <c r="VEH74" s="705"/>
      <c r="VEI74" s="799"/>
      <c r="VEJ74" s="800"/>
      <c r="VEK74" s="800"/>
      <c r="VEL74" s="800"/>
      <c r="VEM74" s="800"/>
      <c r="VEN74" s="800"/>
      <c r="VEO74" s="705"/>
      <c r="VEP74" s="799"/>
      <c r="VEQ74" s="800"/>
      <c r="VER74" s="800"/>
      <c r="VES74" s="800"/>
      <c r="VET74" s="800"/>
      <c r="VEU74" s="800"/>
      <c r="VEV74" s="705"/>
      <c r="VEW74" s="799"/>
      <c r="VEX74" s="800"/>
      <c r="VEY74" s="800"/>
      <c r="VEZ74" s="800"/>
      <c r="VFA74" s="800"/>
      <c r="VFB74" s="800"/>
      <c r="VFC74" s="705"/>
      <c r="VFD74" s="799"/>
      <c r="VFE74" s="800"/>
      <c r="VFF74" s="800"/>
      <c r="VFG74" s="800"/>
      <c r="VFH74" s="800"/>
      <c r="VFI74" s="800"/>
      <c r="VFJ74" s="705"/>
      <c r="VFK74" s="799"/>
      <c r="VFL74" s="800"/>
      <c r="VFM74" s="800"/>
      <c r="VFN74" s="800"/>
      <c r="VFO74" s="800"/>
      <c r="VFP74" s="800"/>
      <c r="VFQ74" s="705"/>
      <c r="VFR74" s="799"/>
      <c r="VFS74" s="800"/>
      <c r="VFT74" s="800"/>
      <c r="VFU74" s="800"/>
      <c r="VFV74" s="800"/>
      <c r="VFW74" s="800"/>
      <c r="VFX74" s="705"/>
      <c r="VFY74" s="799"/>
      <c r="VFZ74" s="800"/>
      <c r="VGA74" s="800"/>
      <c r="VGB74" s="800"/>
      <c r="VGC74" s="800"/>
      <c r="VGD74" s="800"/>
      <c r="VGE74" s="705"/>
      <c r="VGF74" s="799"/>
      <c r="VGG74" s="800"/>
      <c r="VGH74" s="800"/>
      <c r="VGI74" s="800"/>
      <c r="VGJ74" s="800"/>
      <c r="VGK74" s="800"/>
      <c r="VGL74" s="705"/>
      <c r="VGM74" s="799"/>
      <c r="VGN74" s="800"/>
      <c r="VGO74" s="800"/>
      <c r="VGP74" s="800"/>
      <c r="VGQ74" s="800"/>
      <c r="VGR74" s="800"/>
      <c r="VGS74" s="705"/>
      <c r="VGT74" s="799"/>
      <c r="VGU74" s="800"/>
      <c r="VGV74" s="800"/>
      <c r="VGW74" s="800"/>
      <c r="VGX74" s="800"/>
      <c r="VGY74" s="800"/>
      <c r="VGZ74" s="705"/>
      <c r="VHA74" s="799"/>
      <c r="VHB74" s="800"/>
      <c r="VHC74" s="800"/>
      <c r="VHD74" s="800"/>
      <c r="VHE74" s="800"/>
      <c r="VHF74" s="800"/>
      <c r="VHG74" s="705"/>
      <c r="VHH74" s="799"/>
      <c r="VHI74" s="800"/>
      <c r="VHJ74" s="800"/>
      <c r="VHK74" s="800"/>
      <c r="VHL74" s="800"/>
      <c r="VHM74" s="800"/>
      <c r="VHN74" s="705"/>
      <c r="VHO74" s="799"/>
      <c r="VHP74" s="800"/>
      <c r="VHQ74" s="800"/>
      <c r="VHR74" s="800"/>
      <c r="VHS74" s="800"/>
      <c r="VHT74" s="800"/>
      <c r="VHU74" s="705"/>
      <c r="VHV74" s="799"/>
      <c r="VHW74" s="800"/>
      <c r="VHX74" s="800"/>
      <c r="VHY74" s="800"/>
      <c r="VHZ74" s="800"/>
      <c r="VIA74" s="800"/>
      <c r="VIB74" s="705"/>
      <c r="VIC74" s="799"/>
      <c r="VID74" s="800"/>
      <c r="VIE74" s="800"/>
      <c r="VIF74" s="800"/>
      <c r="VIG74" s="800"/>
      <c r="VIH74" s="800"/>
      <c r="VII74" s="705"/>
      <c r="VIJ74" s="799"/>
      <c r="VIK74" s="800"/>
      <c r="VIL74" s="800"/>
      <c r="VIM74" s="800"/>
      <c r="VIN74" s="800"/>
      <c r="VIO74" s="800"/>
      <c r="VIP74" s="705"/>
      <c r="VIQ74" s="799"/>
      <c r="VIR74" s="800"/>
      <c r="VIS74" s="800"/>
      <c r="VIT74" s="800"/>
      <c r="VIU74" s="800"/>
      <c r="VIV74" s="800"/>
      <c r="VIW74" s="705"/>
      <c r="VIX74" s="799"/>
      <c r="VIY74" s="800"/>
      <c r="VIZ74" s="800"/>
      <c r="VJA74" s="800"/>
      <c r="VJB74" s="800"/>
      <c r="VJC74" s="800"/>
      <c r="VJD74" s="705"/>
      <c r="VJE74" s="799"/>
      <c r="VJF74" s="800"/>
      <c r="VJG74" s="800"/>
      <c r="VJH74" s="800"/>
      <c r="VJI74" s="800"/>
      <c r="VJJ74" s="800"/>
      <c r="VJK74" s="705"/>
      <c r="VJL74" s="799"/>
      <c r="VJM74" s="800"/>
      <c r="VJN74" s="800"/>
      <c r="VJO74" s="800"/>
      <c r="VJP74" s="800"/>
      <c r="VJQ74" s="800"/>
      <c r="VJR74" s="705"/>
      <c r="VJS74" s="799"/>
      <c r="VJT74" s="800"/>
      <c r="VJU74" s="800"/>
      <c r="VJV74" s="800"/>
      <c r="VJW74" s="800"/>
      <c r="VJX74" s="800"/>
      <c r="VJY74" s="705"/>
      <c r="VJZ74" s="799"/>
      <c r="VKA74" s="800"/>
      <c r="VKB74" s="800"/>
      <c r="VKC74" s="800"/>
      <c r="VKD74" s="800"/>
      <c r="VKE74" s="800"/>
      <c r="VKF74" s="705"/>
      <c r="VKG74" s="799"/>
      <c r="VKH74" s="800"/>
      <c r="VKI74" s="800"/>
      <c r="VKJ74" s="800"/>
      <c r="VKK74" s="800"/>
      <c r="VKL74" s="800"/>
      <c r="VKM74" s="705"/>
      <c r="VKN74" s="799"/>
      <c r="VKO74" s="800"/>
      <c r="VKP74" s="800"/>
      <c r="VKQ74" s="800"/>
      <c r="VKR74" s="800"/>
      <c r="VKS74" s="800"/>
      <c r="VKT74" s="705"/>
      <c r="VKU74" s="799"/>
      <c r="VKV74" s="800"/>
      <c r="VKW74" s="800"/>
      <c r="VKX74" s="800"/>
      <c r="VKY74" s="800"/>
      <c r="VKZ74" s="800"/>
      <c r="VLA74" s="705"/>
      <c r="VLB74" s="799"/>
      <c r="VLC74" s="800"/>
      <c r="VLD74" s="800"/>
      <c r="VLE74" s="800"/>
      <c r="VLF74" s="800"/>
      <c r="VLG74" s="800"/>
      <c r="VLH74" s="705"/>
      <c r="VLI74" s="799"/>
      <c r="VLJ74" s="800"/>
      <c r="VLK74" s="800"/>
      <c r="VLL74" s="800"/>
      <c r="VLM74" s="800"/>
      <c r="VLN74" s="800"/>
      <c r="VLO74" s="705"/>
      <c r="VLP74" s="799"/>
      <c r="VLQ74" s="800"/>
      <c r="VLR74" s="800"/>
      <c r="VLS74" s="800"/>
      <c r="VLT74" s="800"/>
      <c r="VLU74" s="800"/>
      <c r="VLV74" s="705"/>
      <c r="VLW74" s="799"/>
      <c r="VLX74" s="800"/>
      <c r="VLY74" s="800"/>
      <c r="VLZ74" s="800"/>
      <c r="VMA74" s="800"/>
      <c r="VMB74" s="800"/>
      <c r="VMC74" s="705"/>
      <c r="VMD74" s="799"/>
      <c r="VME74" s="800"/>
      <c r="VMF74" s="800"/>
      <c r="VMG74" s="800"/>
      <c r="VMH74" s="800"/>
      <c r="VMI74" s="800"/>
      <c r="VMJ74" s="705"/>
      <c r="VMK74" s="799"/>
      <c r="VML74" s="800"/>
      <c r="VMM74" s="800"/>
      <c r="VMN74" s="800"/>
      <c r="VMO74" s="800"/>
      <c r="VMP74" s="800"/>
      <c r="VMQ74" s="705"/>
      <c r="VMR74" s="799"/>
      <c r="VMS74" s="800"/>
      <c r="VMT74" s="800"/>
      <c r="VMU74" s="800"/>
      <c r="VMV74" s="800"/>
      <c r="VMW74" s="800"/>
      <c r="VMX74" s="705"/>
      <c r="VMY74" s="799"/>
      <c r="VMZ74" s="800"/>
      <c r="VNA74" s="800"/>
      <c r="VNB74" s="800"/>
      <c r="VNC74" s="800"/>
      <c r="VND74" s="800"/>
      <c r="VNE74" s="705"/>
      <c r="VNF74" s="799"/>
      <c r="VNG74" s="800"/>
      <c r="VNH74" s="800"/>
      <c r="VNI74" s="800"/>
      <c r="VNJ74" s="800"/>
      <c r="VNK74" s="800"/>
      <c r="VNL74" s="705"/>
      <c r="VNM74" s="799"/>
      <c r="VNN74" s="800"/>
      <c r="VNO74" s="800"/>
      <c r="VNP74" s="800"/>
      <c r="VNQ74" s="800"/>
      <c r="VNR74" s="800"/>
      <c r="VNS74" s="705"/>
      <c r="VNT74" s="799"/>
      <c r="VNU74" s="800"/>
      <c r="VNV74" s="800"/>
      <c r="VNW74" s="800"/>
      <c r="VNX74" s="800"/>
      <c r="VNY74" s="800"/>
      <c r="VNZ74" s="705"/>
      <c r="VOA74" s="799"/>
      <c r="VOB74" s="800"/>
      <c r="VOC74" s="800"/>
      <c r="VOD74" s="800"/>
      <c r="VOE74" s="800"/>
      <c r="VOF74" s="800"/>
      <c r="VOG74" s="705"/>
      <c r="VOH74" s="799"/>
      <c r="VOI74" s="800"/>
      <c r="VOJ74" s="800"/>
      <c r="VOK74" s="800"/>
      <c r="VOL74" s="800"/>
      <c r="VOM74" s="800"/>
      <c r="VON74" s="705"/>
      <c r="VOO74" s="799"/>
      <c r="VOP74" s="800"/>
      <c r="VOQ74" s="800"/>
      <c r="VOR74" s="800"/>
      <c r="VOS74" s="800"/>
      <c r="VOT74" s="800"/>
      <c r="VOU74" s="705"/>
      <c r="VOV74" s="799"/>
      <c r="VOW74" s="800"/>
      <c r="VOX74" s="800"/>
      <c r="VOY74" s="800"/>
      <c r="VOZ74" s="800"/>
      <c r="VPA74" s="800"/>
      <c r="VPB74" s="705"/>
      <c r="VPC74" s="799"/>
      <c r="VPD74" s="800"/>
      <c r="VPE74" s="800"/>
      <c r="VPF74" s="800"/>
      <c r="VPG74" s="800"/>
      <c r="VPH74" s="800"/>
      <c r="VPI74" s="705"/>
      <c r="VPJ74" s="799"/>
      <c r="VPK74" s="800"/>
      <c r="VPL74" s="800"/>
      <c r="VPM74" s="800"/>
      <c r="VPN74" s="800"/>
      <c r="VPO74" s="800"/>
      <c r="VPP74" s="705"/>
      <c r="VPQ74" s="799"/>
      <c r="VPR74" s="800"/>
      <c r="VPS74" s="800"/>
      <c r="VPT74" s="800"/>
      <c r="VPU74" s="800"/>
      <c r="VPV74" s="800"/>
      <c r="VPW74" s="705"/>
      <c r="VPX74" s="799"/>
      <c r="VPY74" s="800"/>
      <c r="VPZ74" s="800"/>
      <c r="VQA74" s="800"/>
      <c r="VQB74" s="800"/>
      <c r="VQC74" s="800"/>
      <c r="VQD74" s="705"/>
      <c r="VQE74" s="799"/>
      <c r="VQF74" s="800"/>
      <c r="VQG74" s="800"/>
      <c r="VQH74" s="800"/>
      <c r="VQI74" s="800"/>
      <c r="VQJ74" s="800"/>
      <c r="VQK74" s="705"/>
      <c r="VQL74" s="799"/>
      <c r="VQM74" s="800"/>
      <c r="VQN74" s="800"/>
      <c r="VQO74" s="800"/>
      <c r="VQP74" s="800"/>
      <c r="VQQ74" s="800"/>
      <c r="VQR74" s="705"/>
      <c r="VQS74" s="799"/>
      <c r="VQT74" s="800"/>
      <c r="VQU74" s="800"/>
      <c r="VQV74" s="800"/>
      <c r="VQW74" s="800"/>
      <c r="VQX74" s="800"/>
      <c r="VQY74" s="705"/>
      <c r="VQZ74" s="799"/>
      <c r="VRA74" s="800"/>
      <c r="VRB74" s="800"/>
      <c r="VRC74" s="800"/>
      <c r="VRD74" s="800"/>
      <c r="VRE74" s="800"/>
      <c r="VRF74" s="705"/>
      <c r="VRG74" s="799"/>
      <c r="VRH74" s="800"/>
      <c r="VRI74" s="800"/>
      <c r="VRJ74" s="800"/>
      <c r="VRK74" s="800"/>
      <c r="VRL74" s="800"/>
      <c r="VRM74" s="705"/>
      <c r="VRN74" s="799"/>
      <c r="VRO74" s="800"/>
      <c r="VRP74" s="800"/>
      <c r="VRQ74" s="800"/>
      <c r="VRR74" s="800"/>
      <c r="VRS74" s="800"/>
      <c r="VRT74" s="705"/>
      <c r="VRU74" s="799"/>
      <c r="VRV74" s="800"/>
      <c r="VRW74" s="800"/>
      <c r="VRX74" s="800"/>
      <c r="VRY74" s="800"/>
      <c r="VRZ74" s="800"/>
      <c r="VSA74" s="705"/>
      <c r="VSB74" s="799"/>
      <c r="VSC74" s="800"/>
      <c r="VSD74" s="800"/>
      <c r="VSE74" s="800"/>
      <c r="VSF74" s="800"/>
      <c r="VSG74" s="800"/>
      <c r="VSH74" s="705"/>
      <c r="VSI74" s="799"/>
      <c r="VSJ74" s="800"/>
      <c r="VSK74" s="800"/>
      <c r="VSL74" s="800"/>
      <c r="VSM74" s="800"/>
      <c r="VSN74" s="800"/>
      <c r="VSO74" s="705"/>
      <c r="VSP74" s="799"/>
      <c r="VSQ74" s="800"/>
      <c r="VSR74" s="800"/>
      <c r="VSS74" s="800"/>
      <c r="VST74" s="800"/>
      <c r="VSU74" s="800"/>
      <c r="VSV74" s="705"/>
      <c r="VSW74" s="799"/>
      <c r="VSX74" s="800"/>
      <c r="VSY74" s="800"/>
      <c r="VSZ74" s="800"/>
      <c r="VTA74" s="800"/>
      <c r="VTB74" s="800"/>
      <c r="VTC74" s="705"/>
      <c r="VTD74" s="799"/>
      <c r="VTE74" s="800"/>
      <c r="VTF74" s="800"/>
      <c r="VTG74" s="800"/>
      <c r="VTH74" s="800"/>
      <c r="VTI74" s="800"/>
      <c r="VTJ74" s="705"/>
      <c r="VTK74" s="799"/>
      <c r="VTL74" s="800"/>
      <c r="VTM74" s="800"/>
      <c r="VTN74" s="800"/>
      <c r="VTO74" s="800"/>
      <c r="VTP74" s="800"/>
      <c r="VTQ74" s="705"/>
      <c r="VTR74" s="799"/>
      <c r="VTS74" s="800"/>
      <c r="VTT74" s="800"/>
      <c r="VTU74" s="800"/>
      <c r="VTV74" s="800"/>
      <c r="VTW74" s="800"/>
      <c r="VTX74" s="705"/>
      <c r="VTY74" s="799"/>
      <c r="VTZ74" s="800"/>
      <c r="VUA74" s="800"/>
      <c r="VUB74" s="800"/>
      <c r="VUC74" s="800"/>
      <c r="VUD74" s="800"/>
      <c r="VUE74" s="705"/>
      <c r="VUF74" s="799"/>
      <c r="VUG74" s="800"/>
      <c r="VUH74" s="800"/>
      <c r="VUI74" s="800"/>
      <c r="VUJ74" s="800"/>
      <c r="VUK74" s="800"/>
      <c r="VUL74" s="705"/>
      <c r="VUM74" s="799"/>
      <c r="VUN74" s="800"/>
      <c r="VUO74" s="800"/>
      <c r="VUP74" s="800"/>
      <c r="VUQ74" s="800"/>
      <c r="VUR74" s="800"/>
      <c r="VUS74" s="705"/>
      <c r="VUT74" s="799"/>
      <c r="VUU74" s="800"/>
      <c r="VUV74" s="800"/>
      <c r="VUW74" s="800"/>
      <c r="VUX74" s="800"/>
      <c r="VUY74" s="800"/>
      <c r="VUZ74" s="705"/>
      <c r="VVA74" s="799"/>
      <c r="VVB74" s="800"/>
      <c r="VVC74" s="800"/>
      <c r="VVD74" s="800"/>
      <c r="VVE74" s="800"/>
      <c r="VVF74" s="800"/>
      <c r="VVG74" s="705"/>
      <c r="VVH74" s="799"/>
      <c r="VVI74" s="800"/>
      <c r="VVJ74" s="800"/>
      <c r="VVK74" s="800"/>
      <c r="VVL74" s="800"/>
      <c r="VVM74" s="800"/>
      <c r="VVN74" s="705"/>
      <c r="VVO74" s="799"/>
      <c r="VVP74" s="800"/>
      <c r="VVQ74" s="800"/>
      <c r="VVR74" s="800"/>
      <c r="VVS74" s="800"/>
      <c r="VVT74" s="800"/>
      <c r="VVU74" s="705"/>
      <c r="VVV74" s="799"/>
      <c r="VVW74" s="800"/>
      <c r="VVX74" s="800"/>
      <c r="VVY74" s="800"/>
      <c r="VVZ74" s="800"/>
      <c r="VWA74" s="800"/>
      <c r="VWB74" s="705"/>
      <c r="VWC74" s="799"/>
      <c r="VWD74" s="800"/>
      <c r="VWE74" s="800"/>
      <c r="VWF74" s="800"/>
      <c r="VWG74" s="800"/>
      <c r="VWH74" s="800"/>
      <c r="VWI74" s="705"/>
      <c r="VWJ74" s="799"/>
      <c r="VWK74" s="800"/>
      <c r="VWL74" s="800"/>
      <c r="VWM74" s="800"/>
      <c r="VWN74" s="800"/>
      <c r="VWO74" s="800"/>
      <c r="VWP74" s="705"/>
      <c r="VWQ74" s="799"/>
      <c r="VWR74" s="800"/>
      <c r="VWS74" s="800"/>
      <c r="VWT74" s="800"/>
      <c r="VWU74" s="800"/>
      <c r="VWV74" s="800"/>
      <c r="VWW74" s="705"/>
      <c r="VWX74" s="799"/>
      <c r="VWY74" s="800"/>
      <c r="VWZ74" s="800"/>
      <c r="VXA74" s="800"/>
      <c r="VXB74" s="800"/>
      <c r="VXC74" s="800"/>
      <c r="VXD74" s="705"/>
      <c r="VXE74" s="799"/>
      <c r="VXF74" s="800"/>
      <c r="VXG74" s="800"/>
      <c r="VXH74" s="800"/>
      <c r="VXI74" s="800"/>
      <c r="VXJ74" s="800"/>
      <c r="VXK74" s="705"/>
      <c r="VXL74" s="799"/>
      <c r="VXM74" s="800"/>
      <c r="VXN74" s="800"/>
      <c r="VXO74" s="800"/>
      <c r="VXP74" s="800"/>
      <c r="VXQ74" s="800"/>
      <c r="VXR74" s="705"/>
      <c r="VXS74" s="799"/>
      <c r="VXT74" s="800"/>
      <c r="VXU74" s="800"/>
      <c r="VXV74" s="800"/>
      <c r="VXW74" s="800"/>
      <c r="VXX74" s="800"/>
      <c r="VXY74" s="705"/>
      <c r="VXZ74" s="799"/>
      <c r="VYA74" s="800"/>
      <c r="VYB74" s="800"/>
      <c r="VYC74" s="800"/>
      <c r="VYD74" s="800"/>
      <c r="VYE74" s="800"/>
      <c r="VYF74" s="705"/>
      <c r="VYG74" s="799"/>
      <c r="VYH74" s="800"/>
      <c r="VYI74" s="800"/>
      <c r="VYJ74" s="800"/>
      <c r="VYK74" s="800"/>
      <c r="VYL74" s="800"/>
      <c r="VYM74" s="705"/>
      <c r="VYN74" s="799"/>
      <c r="VYO74" s="800"/>
      <c r="VYP74" s="800"/>
      <c r="VYQ74" s="800"/>
      <c r="VYR74" s="800"/>
      <c r="VYS74" s="800"/>
      <c r="VYT74" s="705"/>
      <c r="VYU74" s="799"/>
      <c r="VYV74" s="800"/>
      <c r="VYW74" s="800"/>
      <c r="VYX74" s="800"/>
      <c r="VYY74" s="800"/>
      <c r="VYZ74" s="800"/>
      <c r="VZA74" s="705"/>
      <c r="VZB74" s="799"/>
      <c r="VZC74" s="800"/>
      <c r="VZD74" s="800"/>
      <c r="VZE74" s="800"/>
      <c r="VZF74" s="800"/>
      <c r="VZG74" s="800"/>
      <c r="VZH74" s="705"/>
      <c r="VZI74" s="799"/>
      <c r="VZJ74" s="800"/>
      <c r="VZK74" s="800"/>
      <c r="VZL74" s="800"/>
      <c r="VZM74" s="800"/>
      <c r="VZN74" s="800"/>
      <c r="VZO74" s="705"/>
      <c r="VZP74" s="799"/>
      <c r="VZQ74" s="800"/>
      <c r="VZR74" s="800"/>
      <c r="VZS74" s="800"/>
      <c r="VZT74" s="800"/>
      <c r="VZU74" s="800"/>
      <c r="VZV74" s="705"/>
      <c r="VZW74" s="799"/>
      <c r="VZX74" s="800"/>
      <c r="VZY74" s="800"/>
      <c r="VZZ74" s="800"/>
      <c r="WAA74" s="800"/>
      <c r="WAB74" s="800"/>
      <c r="WAC74" s="705"/>
      <c r="WAD74" s="799"/>
      <c r="WAE74" s="800"/>
      <c r="WAF74" s="800"/>
      <c r="WAG74" s="800"/>
      <c r="WAH74" s="800"/>
      <c r="WAI74" s="800"/>
      <c r="WAJ74" s="705"/>
      <c r="WAK74" s="799"/>
      <c r="WAL74" s="800"/>
      <c r="WAM74" s="800"/>
      <c r="WAN74" s="800"/>
      <c r="WAO74" s="800"/>
      <c r="WAP74" s="800"/>
      <c r="WAQ74" s="705"/>
      <c r="WAR74" s="799"/>
      <c r="WAS74" s="800"/>
      <c r="WAT74" s="800"/>
      <c r="WAU74" s="800"/>
      <c r="WAV74" s="800"/>
      <c r="WAW74" s="800"/>
      <c r="WAX74" s="705"/>
      <c r="WAY74" s="799"/>
      <c r="WAZ74" s="800"/>
      <c r="WBA74" s="800"/>
      <c r="WBB74" s="800"/>
      <c r="WBC74" s="800"/>
      <c r="WBD74" s="800"/>
      <c r="WBE74" s="705"/>
      <c r="WBF74" s="799"/>
      <c r="WBG74" s="800"/>
      <c r="WBH74" s="800"/>
      <c r="WBI74" s="800"/>
      <c r="WBJ74" s="800"/>
      <c r="WBK74" s="800"/>
      <c r="WBL74" s="705"/>
      <c r="WBM74" s="799"/>
      <c r="WBN74" s="800"/>
      <c r="WBO74" s="800"/>
      <c r="WBP74" s="800"/>
      <c r="WBQ74" s="800"/>
      <c r="WBR74" s="800"/>
      <c r="WBS74" s="705"/>
      <c r="WBT74" s="799"/>
      <c r="WBU74" s="800"/>
      <c r="WBV74" s="800"/>
      <c r="WBW74" s="800"/>
      <c r="WBX74" s="800"/>
      <c r="WBY74" s="800"/>
      <c r="WBZ74" s="705"/>
      <c r="WCA74" s="799"/>
      <c r="WCB74" s="800"/>
      <c r="WCC74" s="800"/>
      <c r="WCD74" s="800"/>
      <c r="WCE74" s="800"/>
      <c r="WCF74" s="800"/>
      <c r="WCG74" s="705"/>
      <c r="WCH74" s="799"/>
      <c r="WCI74" s="800"/>
      <c r="WCJ74" s="800"/>
      <c r="WCK74" s="800"/>
      <c r="WCL74" s="800"/>
      <c r="WCM74" s="800"/>
      <c r="WCN74" s="705"/>
      <c r="WCO74" s="799"/>
      <c r="WCP74" s="800"/>
      <c r="WCQ74" s="800"/>
      <c r="WCR74" s="800"/>
      <c r="WCS74" s="800"/>
      <c r="WCT74" s="800"/>
      <c r="WCU74" s="705"/>
      <c r="WCV74" s="799"/>
      <c r="WCW74" s="800"/>
      <c r="WCX74" s="800"/>
      <c r="WCY74" s="800"/>
      <c r="WCZ74" s="800"/>
      <c r="WDA74" s="800"/>
      <c r="WDB74" s="705"/>
      <c r="WDC74" s="799"/>
      <c r="WDD74" s="800"/>
      <c r="WDE74" s="800"/>
      <c r="WDF74" s="800"/>
      <c r="WDG74" s="800"/>
      <c r="WDH74" s="800"/>
      <c r="WDI74" s="705"/>
      <c r="WDJ74" s="799"/>
      <c r="WDK74" s="800"/>
      <c r="WDL74" s="800"/>
      <c r="WDM74" s="800"/>
      <c r="WDN74" s="800"/>
      <c r="WDO74" s="800"/>
      <c r="WDP74" s="705"/>
      <c r="WDQ74" s="799"/>
      <c r="WDR74" s="800"/>
      <c r="WDS74" s="800"/>
      <c r="WDT74" s="800"/>
      <c r="WDU74" s="800"/>
      <c r="WDV74" s="800"/>
      <c r="WDW74" s="705"/>
      <c r="WDX74" s="799"/>
      <c r="WDY74" s="800"/>
      <c r="WDZ74" s="800"/>
      <c r="WEA74" s="800"/>
      <c r="WEB74" s="800"/>
      <c r="WEC74" s="800"/>
      <c r="WED74" s="705"/>
      <c r="WEE74" s="799"/>
      <c r="WEF74" s="800"/>
      <c r="WEG74" s="800"/>
      <c r="WEH74" s="800"/>
      <c r="WEI74" s="800"/>
      <c r="WEJ74" s="800"/>
      <c r="WEK74" s="705"/>
      <c r="WEL74" s="799"/>
      <c r="WEM74" s="800"/>
      <c r="WEN74" s="800"/>
      <c r="WEO74" s="800"/>
      <c r="WEP74" s="800"/>
      <c r="WEQ74" s="800"/>
      <c r="WER74" s="705"/>
      <c r="WES74" s="799"/>
      <c r="WET74" s="800"/>
      <c r="WEU74" s="800"/>
      <c r="WEV74" s="800"/>
      <c r="WEW74" s="800"/>
      <c r="WEX74" s="800"/>
      <c r="WEY74" s="705"/>
      <c r="WEZ74" s="799"/>
      <c r="WFA74" s="800"/>
      <c r="WFB74" s="800"/>
      <c r="WFC74" s="800"/>
      <c r="WFD74" s="800"/>
      <c r="WFE74" s="800"/>
      <c r="WFF74" s="705"/>
      <c r="WFG74" s="799"/>
      <c r="WFH74" s="800"/>
      <c r="WFI74" s="800"/>
      <c r="WFJ74" s="800"/>
      <c r="WFK74" s="800"/>
      <c r="WFL74" s="800"/>
      <c r="WFM74" s="705"/>
      <c r="WFN74" s="799"/>
      <c r="WFO74" s="800"/>
      <c r="WFP74" s="800"/>
      <c r="WFQ74" s="800"/>
      <c r="WFR74" s="800"/>
      <c r="WFS74" s="800"/>
      <c r="WFT74" s="705"/>
      <c r="WFU74" s="799"/>
      <c r="WFV74" s="800"/>
      <c r="WFW74" s="800"/>
      <c r="WFX74" s="800"/>
      <c r="WFY74" s="800"/>
      <c r="WFZ74" s="800"/>
      <c r="WGA74" s="705"/>
      <c r="WGB74" s="799"/>
      <c r="WGC74" s="800"/>
      <c r="WGD74" s="800"/>
      <c r="WGE74" s="800"/>
      <c r="WGF74" s="800"/>
      <c r="WGG74" s="800"/>
      <c r="WGH74" s="705"/>
      <c r="WGI74" s="799"/>
      <c r="WGJ74" s="800"/>
      <c r="WGK74" s="800"/>
      <c r="WGL74" s="800"/>
      <c r="WGM74" s="800"/>
      <c r="WGN74" s="800"/>
      <c r="WGO74" s="705"/>
      <c r="WGP74" s="799"/>
      <c r="WGQ74" s="800"/>
      <c r="WGR74" s="800"/>
      <c r="WGS74" s="800"/>
      <c r="WGT74" s="800"/>
      <c r="WGU74" s="800"/>
      <c r="WGV74" s="705"/>
      <c r="WGW74" s="799"/>
      <c r="WGX74" s="800"/>
      <c r="WGY74" s="800"/>
      <c r="WGZ74" s="800"/>
      <c r="WHA74" s="800"/>
      <c r="WHB74" s="800"/>
      <c r="WHC74" s="705"/>
      <c r="WHD74" s="799"/>
      <c r="WHE74" s="800"/>
      <c r="WHF74" s="800"/>
      <c r="WHG74" s="800"/>
      <c r="WHH74" s="800"/>
      <c r="WHI74" s="800"/>
      <c r="WHJ74" s="705"/>
      <c r="WHK74" s="799"/>
      <c r="WHL74" s="800"/>
      <c r="WHM74" s="800"/>
      <c r="WHN74" s="800"/>
      <c r="WHO74" s="800"/>
      <c r="WHP74" s="800"/>
      <c r="WHQ74" s="705"/>
      <c r="WHR74" s="799"/>
      <c r="WHS74" s="800"/>
      <c r="WHT74" s="800"/>
      <c r="WHU74" s="800"/>
      <c r="WHV74" s="800"/>
      <c r="WHW74" s="800"/>
      <c r="WHX74" s="705"/>
      <c r="WHY74" s="799"/>
      <c r="WHZ74" s="800"/>
      <c r="WIA74" s="800"/>
      <c r="WIB74" s="800"/>
      <c r="WIC74" s="800"/>
      <c r="WID74" s="800"/>
      <c r="WIE74" s="705"/>
      <c r="WIF74" s="799"/>
      <c r="WIG74" s="800"/>
      <c r="WIH74" s="800"/>
      <c r="WII74" s="800"/>
      <c r="WIJ74" s="800"/>
      <c r="WIK74" s="800"/>
      <c r="WIL74" s="705"/>
      <c r="WIM74" s="799"/>
      <c r="WIN74" s="800"/>
      <c r="WIO74" s="800"/>
      <c r="WIP74" s="800"/>
      <c r="WIQ74" s="800"/>
      <c r="WIR74" s="800"/>
      <c r="WIS74" s="705"/>
      <c r="WIT74" s="799"/>
      <c r="WIU74" s="800"/>
      <c r="WIV74" s="800"/>
      <c r="WIW74" s="800"/>
      <c r="WIX74" s="800"/>
      <c r="WIY74" s="800"/>
      <c r="WIZ74" s="705"/>
      <c r="WJA74" s="799"/>
      <c r="WJB74" s="800"/>
      <c r="WJC74" s="800"/>
      <c r="WJD74" s="800"/>
      <c r="WJE74" s="800"/>
      <c r="WJF74" s="800"/>
      <c r="WJG74" s="705"/>
      <c r="WJH74" s="799"/>
      <c r="WJI74" s="800"/>
      <c r="WJJ74" s="800"/>
      <c r="WJK74" s="800"/>
      <c r="WJL74" s="800"/>
      <c r="WJM74" s="800"/>
      <c r="WJN74" s="705"/>
      <c r="WJO74" s="799"/>
      <c r="WJP74" s="800"/>
      <c r="WJQ74" s="800"/>
      <c r="WJR74" s="800"/>
      <c r="WJS74" s="800"/>
      <c r="WJT74" s="800"/>
      <c r="WJU74" s="705"/>
      <c r="WJV74" s="799"/>
      <c r="WJW74" s="800"/>
      <c r="WJX74" s="800"/>
      <c r="WJY74" s="800"/>
      <c r="WJZ74" s="800"/>
      <c r="WKA74" s="800"/>
      <c r="WKB74" s="705"/>
      <c r="WKC74" s="799"/>
      <c r="WKD74" s="800"/>
      <c r="WKE74" s="800"/>
      <c r="WKF74" s="800"/>
      <c r="WKG74" s="800"/>
      <c r="WKH74" s="800"/>
      <c r="WKI74" s="705"/>
      <c r="WKJ74" s="799"/>
      <c r="WKK74" s="800"/>
      <c r="WKL74" s="800"/>
      <c r="WKM74" s="800"/>
      <c r="WKN74" s="800"/>
      <c r="WKO74" s="800"/>
      <c r="WKP74" s="705"/>
      <c r="WKQ74" s="799"/>
      <c r="WKR74" s="800"/>
      <c r="WKS74" s="800"/>
      <c r="WKT74" s="800"/>
      <c r="WKU74" s="800"/>
      <c r="WKV74" s="800"/>
      <c r="WKW74" s="705"/>
      <c r="WKX74" s="799"/>
      <c r="WKY74" s="800"/>
      <c r="WKZ74" s="800"/>
      <c r="WLA74" s="800"/>
      <c r="WLB74" s="800"/>
      <c r="WLC74" s="800"/>
      <c r="WLD74" s="705"/>
      <c r="WLE74" s="799"/>
      <c r="WLF74" s="800"/>
      <c r="WLG74" s="800"/>
      <c r="WLH74" s="800"/>
      <c r="WLI74" s="800"/>
      <c r="WLJ74" s="800"/>
      <c r="WLK74" s="705"/>
      <c r="WLL74" s="799"/>
      <c r="WLM74" s="800"/>
      <c r="WLN74" s="800"/>
      <c r="WLO74" s="800"/>
      <c r="WLP74" s="800"/>
      <c r="WLQ74" s="800"/>
      <c r="WLR74" s="705"/>
      <c r="WLS74" s="799"/>
      <c r="WLT74" s="800"/>
      <c r="WLU74" s="800"/>
      <c r="WLV74" s="800"/>
      <c r="WLW74" s="800"/>
      <c r="WLX74" s="800"/>
      <c r="WLY74" s="705"/>
      <c r="WLZ74" s="799"/>
      <c r="WMA74" s="800"/>
      <c r="WMB74" s="800"/>
      <c r="WMC74" s="800"/>
      <c r="WMD74" s="800"/>
      <c r="WME74" s="800"/>
      <c r="WMF74" s="705"/>
      <c r="WMG74" s="799"/>
      <c r="WMH74" s="800"/>
      <c r="WMI74" s="800"/>
      <c r="WMJ74" s="800"/>
      <c r="WMK74" s="800"/>
      <c r="WML74" s="800"/>
      <c r="WMM74" s="705"/>
      <c r="WMN74" s="799"/>
      <c r="WMO74" s="800"/>
      <c r="WMP74" s="800"/>
      <c r="WMQ74" s="800"/>
      <c r="WMR74" s="800"/>
      <c r="WMS74" s="800"/>
      <c r="WMT74" s="705"/>
      <c r="WMU74" s="799"/>
      <c r="WMV74" s="800"/>
      <c r="WMW74" s="800"/>
      <c r="WMX74" s="800"/>
      <c r="WMY74" s="800"/>
      <c r="WMZ74" s="800"/>
      <c r="WNA74" s="705"/>
      <c r="WNB74" s="799"/>
      <c r="WNC74" s="800"/>
      <c r="WND74" s="800"/>
      <c r="WNE74" s="800"/>
      <c r="WNF74" s="800"/>
      <c r="WNG74" s="800"/>
      <c r="WNH74" s="705"/>
      <c r="WNI74" s="799"/>
      <c r="WNJ74" s="800"/>
      <c r="WNK74" s="800"/>
      <c r="WNL74" s="800"/>
      <c r="WNM74" s="800"/>
      <c r="WNN74" s="800"/>
      <c r="WNO74" s="705"/>
      <c r="WNP74" s="799"/>
      <c r="WNQ74" s="800"/>
      <c r="WNR74" s="800"/>
      <c r="WNS74" s="800"/>
      <c r="WNT74" s="800"/>
      <c r="WNU74" s="800"/>
      <c r="WNV74" s="705"/>
      <c r="WNW74" s="799"/>
      <c r="WNX74" s="800"/>
      <c r="WNY74" s="800"/>
      <c r="WNZ74" s="800"/>
      <c r="WOA74" s="800"/>
      <c r="WOB74" s="800"/>
      <c r="WOC74" s="705"/>
      <c r="WOD74" s="799"/>
      <c r="WOE74" s="800"/>
      <c r="WOF74" s="800"/>
      <c r="WOG74" s="800"/>
      <c r="WOH74" s="800"/>
      <c r="WOI74" s="800"/>
      <c r="WOJ74" s="705"/>
      <c r="WOK74" s="799"/>
      <c r="WOL74" s="800"/>
      <c r="WOM74" s="800"/>
      <c r="WON74" s="800"/>
      <c r="WOO74" s="800"/>
      <c r="WOP74" s="800"/>
      <c r="WOQ74" s="705"/>
      <c r="WOR74" s="799"/>
      <c r="WOS74" s="800"/>
      <c r="WOT74" s="800"/>
      <c r="WOU74" s="800"/>
      <c r="WOV74" s="800"/>
      <c r="WOW74" s="800"/>
      <c r="WOX74" s="705"/>
      <c r="WOY74" s="799"/>
      <c r="WOZ74" s="800"/>
      <c r="WPA74" s="800"/>
      <c r="WPB74" s="800"/>
      <c r="WPC74" s="800"/>
      <c r="WPD74" s="800"/>
      <c r="WPE74" s="705"/>
      <c r="WPF74" s="799"/>
      <c r="WPG74" s="800"/>
      <c r="WPH74" s="800"/>
      <c r="WPI74" s="800"/>
      <c r="WPJ74" s="800"/>
      <c r="WPK74" s="800"/>
      <c r="WPL74" s="705"/>
      <c r="WPM74" s="799"/>
      <c r="WPN74" s="800"/>
      <c r="WPO74" s="800"/>
      <c r="WPP74" s="800"/>
      <c r="WPQ74" s="800"/>
      <c r="WPR74" s="800"/>
      <c r="WPS74" s="705"/>
      <c r="WPT74" s="799"/>
      <c r="WPU74" s="800"/>
      <c r="WPV74" s="800"/>
      <c r="WPW74" s="800"/>
      <c r="WPX74" s="800"/>
      <c r="WPY74" s="800"/>
      <c r="WPZ74" s="705"/>
      <c r="WQA74" s="799"/>
      <c r="WQB74" s="800"/>
      <c r="WQC74" s="800"/>
      <c r="WQD74" s="800"/>
      <c r="WQE74" s="800"/>
      <c r="WQF74" s="800"/>
      <c r="WQG74" s="705"/>
      <c r="WQH74" s="799"/>
      <c r="WQI74" s="800"/>
      <c r="WQJ74" s="800"/>
      <c r="WQK74" s="800"/>
      <c r="WQL74" s="800"/>
      <c r="WQM74" s="800"/>
      <c r="WQN74" s="705"/>
      <c r="WQO74" s="799"/>
      <c r="WQP74" s="800"/>
      <c r="WQQ74" s="800"/>
      <c r="WQR74" s="800"/>
      <c r="WQS74" s="800"/>
      <c r="WQT74" s="800"/>
      <c r="WQU74" s="705"/>
      <c r="WQV74" s="799"/>
      <c r="WQW74" s="800"/>
      <c r="WQX74" s="800"/>
      <c r="WQY74" s="800"/>
      <c r="WQZ74" s="800"/>
      <c r="WRA74" s="800"/>
      <c r="WRB74" s="705"/>
      <c r="WRC74" s="799"/>
      <c r="WRD74" s="800"/>
      <c r="WRE74" s="800"/>
      <c r="WRF74" s="800"/>
      <c r="WRG74" s="800"/>
      <c r="WRH74" s="800"/>
      <c r="WRI74" s="705"/>
      <c r="WRJ74" s="799"/>
      <c r="WRK74" s="800"/>
      <c r="WRL74" s="800"/>
      <c r="WRM74" s="800"/>
      <c r="WRN74" s="800"/>
      <c r="WRO74" s="800"/>
      <c r="WRP74" s="705"/>
      <c r="WRQ74" s="799"/>
      <c r="WRR74" s="800"/>
      <c r="WRS74" s="800"/>
      <c r="WRT74" s="800"/>
      <c r="WRU74" s="800"/>
      <c r="WRV74" s="800"/>
      <c r="WRW74" s="705"/>
      <c r="WRX74" s="799"/>
      <c r="WRY74" s="800"/>
      <c r="WRZ74" s="800"/>
      <c r="WSA74" s="800"/>
      <c r="WSB74" s="800"/>
      <c r="WSC74" s="800"/>
      <c r="WSD74" s="705"/>
      <c r="WSE74" s="799"/>
      <c r="WSF74" s="800"/>
      <c r="WSG74" s="800"/>
      <c r="WSH74" s="800"/>
      <c r="WSI74" s="800"/>
      <c r="WSJ74" s="800"/>
      <c r="WSK74" s="705"/>
      <c r="WSL74" s="799"/>
      <c r="WSM74" s="800"/>
      <c r="WSN74" s="800"/>
      <c r="WSO74" s="800"/>
      <c r="WSP74" s="800"/>
      <c r="WSQ74" s="800"/>
      <c r="WSR74" s="705"/>
      <c r="WSS74" s="799"/>
      <c r="WST74" s="800"/>
      <c r="WSU74" s="800"/>
      <c r="WSV74" s="800"/>
      <c r="WSW74" s="800"/>
      <c r="WSX74" s="800"/>
      <c r="WSY74" s="705"/>
      <c r="WSZ74" s="799"/>
      <c r="WTA74" s="800"/>
      <c r="WTB74" s="800"/>
      <c r="WTC74" s="800"/>
      <c r="WTD74" s="800"/>
      <c r="WTE74" s="800"/>
      <c r="WTF74" s="705"/>
      <c r="WTG74" s="799"/>
      <c r="WTH74" s="800"/>
      <c r="WTI74" s="800"/>
      <c r="WTJ74" s="800"/>
      <c r="WTK74" s="800"/>
      <c r="WTL74" s="800"/>
      <c r="WTM74" s="705"/>
      <c r="WTN74" s="799"/>
      <c r="WTO74" s="800"/>
      <c r="WTP74" s="800"/>
      <c r="WTQ74" s="800"/>
      <c r="WTR74" s="800"/>
      <c r="WTS74" s="800"/>
      <c r="WTT74" s="705"/>
      <c r="WTU74" s="799"/>
      <c r="WTV74" s="800"/>
      <c r="WTW74" s="800"/>
      <c r="WTX74" s="800"/>
      <c r="WTY74" s="800"/>
      <c r="WTZ74" s="800"/>
      <c r="WUA74" s="705"/>
      <c r="WUB74" s="799"/>
      <c r="WUC74" s="800"/>
      <c r="WUD74" s="800"/>
      <c r="WUE74" s="800"/>
      <c r="WUF74" s="800"/>
      <c r="WUG74" s="800"/>
      <c r="WUH74" s="705"/>
      <c r="WUI74" s="799"/>
      <c r="WUJ74" s="800"/>
      <c r="WUK74" s="800"/>
      <c r="WUL74" s="800"/>
      <c r="WUM74" s="800"/>
      <c r="WUN74" s="800"/>
      <c r="WUO74" s="705"/>
      <c r="WUP74" s="799"/>
      <c r="WUQ74" s="800"/>
      <c r="WUR74" s="800"/>
      <c r="WUS74" s="800"/>
      <c r="WUT74" s="800"/>
      <c r="WUU74" s="800"/>
      <c r="WUV74" s="705"/>
      <c r="WUW74" s="799"/>
      <c r="WUX74" s="800"/>
      <c r="WUY74" s="800"/>
      <c r="WUZ74" s="800"/>
      <c r="WVA74" s="800"/>
      <c r="WVB74" s="800"/>
      <c r="WVC74" s="705"/>
      <c r="WVD74" s="799"/>
      <c r="WVE74" s="800"/>
      <c r="WVF74" s="800"/>
      <c r="WVG74" s="800"/>
      <c r="WVH74" s="800"/>
      <c r="WVI74" s="800"/>
      <c r="WVJ74" s="705"/>
      <c r="WVK74" s="799"/>
      <c r="WVL74" s="800"/>
      <c r="WVM74" s="800"/>
      <c r="WVN74" s="800"/>
      <c r="WVO74" s="800"/>
      <c r="WVP74" s="800"/>
      <c r="WVQ74" s="705"/>
      <c r="WVR74" s="799"/>
      <c r="WVS74" s="800"/>
      <c r="WVT74" s="800"/>
      <c r="WVU74" s="800"/>
      <c r="WVV74" s="800"/>
      <c r="WVW74" s="800"/>
      <c r="WVX74" s="705"/>
      <c r="WVY74" s="799"/>
      <c r="WVZ74" s="800"/>
      <c r="WWA74" s="800"/>
      <c r="WWB74" s="800"/>
      <c r="WWC74" s="800"/>
      <c r="WWD74" s="800"/>
      <c r="WWE74" s="705"/>
      <c r="WWF74" s="799"/>
      <c r="WWG74" s="800"/>
      <c r="WWH74" s="800"/>
      <c r="WWI74" s="800"/>
      <c r="WWJ74" s="800"/>
      <c r="WWK74" s="800"/>
      <c r="WWL74" s="705"/>
      <c r="WWM74" s="799"/>
      <c r="WWN74" s="800"/>
      <c r="WWO74" s="800"/>
      <c r="WWP74" s="800"/>
      <c r="WWQ74" s="800"/>
      <c r="WWR74" s="800"/>
      <c r="WWS74" s="705"/>
      <c r="WWT74" s="799"/>
      <c r="WWU74" s="800"/>
      <c r="WWV74" s="800"/>
      <c r="WWW74" s="800"/>
      <c r="WWX74" s="800"/>
      <c r="WWY74" s="800"/>
      <c r="WWZ74" s="705"/>
      <c r="WXA74" s="799"/>
      <c r="WXB74" s="800"/>
      <c r="WXC74" s="800"/>
      <c r="WXD74" s="800"/>
      <c r="WXE74" s="800"/>
      <c r="WXF74" s="800"/>
      <c r="WXG74" s="705"/>
      <c r="WXH74" s="799"/>
      <c r="WXI74" s="800"/>
      <c r="WXJ74" s="800"/>
      <c r="WXK74" s="800"/>
      <c r="WXL74" s="800"/>
      <c r="WXM74" s="800"/>
      <c r="WXN74" s="705"/>
      <c r="WXO74" s="799"/>
      <c r="WXP74" s="800"/>
      <c r="WXQ74" s="800"/>
      <c r="WXR74" s="800"/>
      <c r="WXS74" s="800"/>
      <c r="WXT74" s="800"/>
      <c r="WXU74" s="705"/>
      <c r="WXV74" s="799"/>
      <c r="WXW74" s="800"/>
      <c r="WXX74" s="800"/>
      <c r="WXY74" s="800"/>
      <c r="WXZ74" s="800"/>
      <c r="WYA74" s="800"/>
      <c r="WYB74" s="705"/>
      <c r="WYC74" s="799"/>
      <c r="WYD74" s="800"/>
      <c r="WYE74" s="800"/>
      <c r="WYF74" s="800"/>
      <c r="WYG74" s="800"/>
      <c r="WYH74" s="800"/>
      <c r="WYI74" s="705"/>
      <c r="WYJ74" s="799"/>
      <c r="WYK74" s="800"/>
      <c r="WYL74" s="800"/>
      <c r="WYM74" s="800"/>
      <c r="WYN74" s="800"/>
      <c r="WYO74" s="800"/>
      <c r="WYP74" s="705"/>
      <c r="WYQ74" s="799"/>
      <c r="WYR74" s="800"/>
      <c r="WYS74" s="800"/>
      <c r="WYT74" s="800"/>
      <c r="WYU74" s="800"/>
      <c r="WYV74" s="800"/>
      <c r="WYW74" s="705"/>
      <c r="WYX74" s="799"/>
      <c r="WYY74" s="800"/>
      <c r="WYZ74" s="800"/>
      <c r="WZA74" s="800"/>
      <c r="WZB74" s="800"/>
      <c r="WZC74" s="800"/>
      <c r="WZD74" s="705"/>
      <c r="WZE74" s="799"/>
      <c r="WZF74" s="800"/>
      <c r="WZG74" s="800"/>
      <c r="WZH74" s="800"/>
      <c r="WZI74" s="800"/>
      <c r="WZJ74" s="800"/>
      <c r="WZK74" s="705"/>
      <c r="WZL74" s="799"/>
      <c r="WZM74" s="800"/>
      <c r="WZN74" s="800"/>
      <c r="WZO74" s="800"/>
      <c r="WZP74" s="800"/>
      <c r="WZQ74" s="800"/>
      <c r="WZR74" s="705"/>
      <c r="WZS74" s="799"/>
      <c r="WZT74" s="800"/>
      <c r="WZU74" s="800"/>
      <c r="WZV74" s="800"/>
      <c r="WZW74" s="800"/>
      <c r="WZX74" s="800"/>
      <c r="WZY74" s="705"/>
      <c r="WZZ74" s="799"/>
      <c r="XAA74" s="800"/>
      <c r="XAB74" s="800"/>
      <c r="XAC74" s="800"/>
      <c r="XAD74" s="800"/>
      <c r="XAE74" s="800"/>
      <c r="XAF74" s="705"/>
      <c r="XAG74" s="799"/>
      <c r="XAH74" s="800"/>
      <c r="XAI74" s="800"/>
      <c r="XAJ74" s="800"/>
      <c r="XAK74" s="800"/>
      <c r="XAL74" s="800"/>
      <c r="XAM74" s="705"/>
      <c r="XAN74" s="799"/>
      <c r="XAO74" s="800"/>
      <c r="XAP74" s="800"/>
      <c r="XAQ74" s="800"/>
      <c r="XAR74" s="800"/>
      <c r="XAS74" s="800"/>
      <c r="XAT74" s="705"/>
      <c r="XAU74" s="799"/>
      <c r="XAV74" s="800"/>
      <c r="XAW74" s="800"/>
      <c r="XAX74" s="800"/>
      <c r="XAY74" s="800"/>
      <c r="XAZ74" s="800"/>
      <c r="XBA74" s="705"/>
      <c r="XBB74" s="799"/>
      <c r="XBC74" s="800"/>
      <c r="XBD74" s="800"/>
      <c r="XBE74" s="800"/>
      <c r="XBF74" s="800"/>
      <c r="XBG74" s="800"/>
      <c r="XBH74" s="705"/>
      <c r="XBI74" s="799"/>
      <c r="XBJ74" s="800"/>
      <c r="XBK74" s="800"/>
      <c r="XBL74" s="800"/>
      <c r="XBM74" s="800"/>
      <c r="XBN74" s="800"/>
      <c r="XBO74" s="705"/>
      <c r="XBP74" s="799"/>
      <c r="XBQ74" s="800"/>
      <c r="XBR74" s="800"/>
      <c r="XBS74" s="800"/>
      <c r="XBT74" s="800"/>
      <c r="XBU74" s="800"/>
      <c r="XBV74" s="705"/>
      <c r="XBW74" s="799"/>
      <c r="XBX74" s="800"/>
      <c r="XBY74" s="800"/>
      <c r="XBZ74" s="800"/>
      <c r="XCA74" s="800"/>
      <c r="XCB74" s="800"/>
      <c r="XCC74" s="705"/>
      <c r="XCD74" s="799"/>
      <c r="XCE74" s="800"/>
      <c r="XCF74" s="800"/>
      <c r="XCG74" s="800"/>
      <c r="XCH74" s="800"/>
      <c r="XCI74" s="800"/>
      <c r="XCJ74" s="705"/>
      <c r="XCK74" s="799"/>
      <c r="XCL74" s="800"/>
      <c r="XCM74" s="800"/>
      <c r="XCN74" s="800"/>
      <c r="XCO74" s="800"/>
      <c r="XCP74" s="800"/>
      <c r="XCQ74" s="705"/>
      <c r="XCR74" s="799"/>
      <c r="XCS74" s="800"/>
      <c r="XCT74" s="800"/>
      <c r="XCU74" s="800"/>
      <c r="XCV74" s="800"/>
      <c r="XCW74" s="800"/>
      <c r="XCX74" s="705"/>
      <c r="XCY74" s="799"/>
      <c r="XCZ74" s="800"/>
      <c r="XDA74" s="800"/>
      <c r="XDB74" s="800"/>
      <c r="XDC74" s="800"/>
      <c r="XDD74" s="800"/>
      <c r="XDE74" s="705"/>
      <c r="XDF74" s="799"/>
      <c r="XDG74" s="800"/>
      <c r="XDH74" s="800"/>
      <c r="XDI74" s="800"/>
      <c r="XDJ74" s="800"/>
      <c r="XDK74" s="800"/>
      <c r="XDL74" s="705"/>
      <c r="XDM74" s="799"/>
      <c r="XDN74" s="800"/>
      <c r="XDO74" s="800"/>
      <c r="XDP74" s="800"/>
      <c r="XDQ74" s="800"/>
      <c r="XDR74" s="800"/>
      <c r="XDS74" s="705"/>
      <c r="XDT74" s="799"/>
      <c r="XDU74" s="800"/>
      <c r="XDV74" s="800"/>
      <c r="XDW74" s="800"/>
      <c r="XDX74" s="800"/>
      <c r="XDY74" s="800"/>
      <c r="XDZ74" s="705"/>
      <c r="XEA74" s="799"/>
      <c r="XEB74" s="800"/>
      <c r="XEC74" s="800"/>
      <c r="XED74" s="800"/>
      <c r="XEE74" s="800"/>
      <c r="XEF74" s="800"/>
      <c r="XEG74" s="705"/>
      <c r="XEH74" s="799"/>
      <c r="XEI74" s="800"/>
      <c r="XEJ74" s="800"/>
      <c r="XEK74" s="800"/>
      <c r="XEL74" s="800"/>
      <c r="XEM74" s="800"/>
      <c r="XEN74" s="705"/>
      <c r="XEO74" s="799"/>
      <c r="XEP74" s="800"/>
      <c r="XEQ74" s="800"/>
      <c r="XER74" s="800"/>
      <c r="XES74" s="800"/>
      <c r="XET74" s="800"/>
      <c r="XEU74" s="705"/>
      <c r="XEV74" s="799"/>
      <c r="XEW74" s="799"/>
      <c r="XEX74" s="799"/>
    </row>
    <row r="76" spans="1:16378" s="716" customFormat="1" ht="15" x14ac:dyDescent="0.25">
      <c r="A76" s="722" t="s">
        <v>1192</v>
      </c>
      <c r="D76" s="717"/>
      <c r="E76" s="710"/>
      <c r="F76" s="710"/>
      <c r="G76" s="710"/>
    </row>
    <row r="77" spans="1:16378" s="716" customFormat="1" ht="29.1" customHeight="1" x14ac:dyDescent="0.25">
      <c r="A77" s="705" t="s">
        <v>1243</v>
      </c>
      <c r="B77" s="799" t="s">
        <v>1257</v>
      </c>
      <c r="C77" s="800"/>
      <c r="D77" s="800"/>
      <c r="E77" s="800"/>
      <c r="F77" s="800"/>
      <c r="G77" s="800"/>
    </row>
    <row r="78" spans="1:16378" s="716" customFormat="1" ht="36" customHeight="1" x14ac:dyDescent="0.25">
      <c r="A78" s="705" t="s">
        <v>1244</v>
      </c>
      <c r="B78" s="799" t="s">
        <v>1258</v>
      </c>
      <c r="C78" s="800"/>
      <c r="D78" s="800"/>
      <c r="E78" s="800"/>
      <c r="F78" s="800"/>
      <c r="G78" s="800"/>
    </row>
    <row r="79" spans="1:16378" s="716" customFormat="1" ht="36" customHeight="1" x14ac:dyDescent="0.25">
      <c r="A79" s="705" t="s">
        <v>1245</v>
      </c>
      <c r="B79" s="799" t="s">
        <v>1259</v>
      </c>
      <c r="C79" s="800"/>
      <c r="D79" s="800"/>
      <c r="E79" s="800"/>
      <c r="F79" s="800"/>
      <c r="G79" s="800"/>
    </row>
    <row r="80" spans="1:16378" s="716" customFormat="1" ht="36" customHeight="1" x14ac:dyDescent="0.25">
      <c r="A80" s="723"/>
      <c r="B80" s="723"/>
      <c r="C80" s="724"/>
      <c r="D80" s="724"/>
      <c r="E80" s="724"/>
      <c r="F80" s="724"/>
      <c r="G80" s="724"/>
    </row>
    <row r="81" spans="1:8" s="716" customFormat="1" ht="15" x14ac:dyDescent="0.25">
      <c r="A81" s="722" t="s">
        <v>1193</v>
      </c>
      <c r="D81" s="717"/>
      <c r="E81" s="710"/>
      <c r="F81" s="710"/>
      <c r="G81" s="710"/>
    </row>
    <row r="82" spans="1:8" s="716" customFormat="1" ht="28.5" x14ac:dyDescent="0.25">
      <c r="A82" s="705" t="s">
        <v>1247</v>
      </c>
      <c r="B82" s="801" t="s">
        <v>1260</v>
      </c>
      <c r="C82" s="802"/>
      <c r="D82" s="802"/>
      <c r="E82" s="802"/>
      <c r="F82" s="802"/>
      <c r="G82" s="803"/>
    </row>
    <row r="83" spans="1:8" s="716" customFormat="1" ht="45.95" customHeight="1" x14ac:dyDescent="0.25">
      <c r="A83" s="705" t="s">
        <v>1246</v>
      </c>
      <c r="B83" s="801" t="s">
        <v>1341</v>
      </c>
      <c r="C83" s="802"/>
      <c r="D83" s="802"/>
      <c r="E83" s="802"/>
      <c r="F83" s="802"/>
      <c r="G83" s="803"/>
    </row>
    <row r="84" spans="1:8" s="716" customFormat="1" ht="59.1" customHeight="1" x14ac:dyDescent="0.25">
      <c r="A84" s="705" t="s">
        <v>1334</v>
      </c>
      <c r="B84" s="801" t="s">
        <v>1359</v>
      </c>
      <c r="C84" s="802"/>
      <c r="D84" s="802"/>
      <c r="E84" s="802"/>
      <c r="F84" s="802"/>
      <c r="G84" s="803"/>
    </row>
    <row r="85" spans="1:8" s="716" customFormat="1" ht="55.5" customHeight="1" x14ac:dyDescent="0.25">
      <c r="A85" s="705" t="s">
        <v>1248</v>
      </c>
      <c r="B85" s="801" t="s">
        <v>1360</v>
      </c>
      <c r="C85" s="802"/>
      <c r="D85" s="802"/>
      <c r="E85" s="802"/>
      <c r="F85" s="802"/>
      <c r="G85" s="803"/>
    </row>
    <row r="86" spans="1:8" s="716" customFormat="1" ht="72.599999999999994" customHeight="1" x14ac:dyDescent="0.25">
      <c r="A86" s="705" t="s">
        <v>1335</v>
      </c>
      <c r="B86" s="801" t="s">
        <v>1361</v>
      </c>
      <c r="C86" s="802"/>
      <c r="D86" s="802"/>
      <c r="E86" s="802"/>
      <c r="F86" s="802"/>
      <c r="G86" s="803"/>
    </row>
    <row r="87" spans="1:8" s="716" customFormat="1" ht="56.45" customHeight="1" x14ac:dyDescent="0.25">
      <c r="A87" s="705" t="s">
        <v>1338</v>
      </c>
      <c r="B87" s="801" t="s">
        <v>1362</v>
      </c>
      <c r="C87" s="802"/>
      <c r="D87" s="802"/>
      <c r="E87" s="802"/>
      <c r="F87" s="802"/>
      <c r="G87" s="803"/>
    </row>
    <row r="88" spans="1:8" s="716" customFormat="1" ht="55.5" customHeight="1" x14ac:dyDescent="0.25">
      <c r="A88" s="705" t="s">
        <v>1339</v>
      </c>
      <c r="B88" s="801" t="s">
        <v>1363</v>
      </c>
      <c r="C88" s="802"/>
      <c r="D88" s="802"/>
      <c r="E88" s="802"/>
      <c r="F88" s="802"/>
      <c r="G88" s="803"/>
    </row>
    <row r="89" spans="1:8" s="716" customFormat="1" ht="71.099999999999994" customHeight="1" x14ac:dyDescent="0.25">
      <c r="A89" s="705" t="s">
        <v>1340</v>
      </c>
      <c r="B89" s="809" t="s">
        <v>1336</v>
      </c>
      <c r="C89" s="810"/>
      <c r="D89" s="810"/>
      <c r="E89" s="810"/>
      <c r="F89" s="810"/>
      <c r="G89" s="811"/>
    </row>
    <row r="90" spans="1:8" s="716" customFormat="1" ht="99.6" customHeight="1" x14ac:dyDescent="0.25">
      <c r="A90" s="705" t="s">
        <v>1352</v>
      </c>
      <c r="B90" s="809" t="s">
        <v>1365</v>
      </c>
      <c r="C90" s="810"/>
      <c r="D90" s="810"/>
      <c r="E90" s="810"/>
      <c r="F90" s="810"/>
      <c r="G90" s="811"/>
    </row>
    <row r="91" spans="1:8" s="716" customFormat="1" ht="71.099999999999994" customHeight="1" x14ac:dyDescent="0.25">
      <c r="A91" s="705" t="s">
        <v>1351</v>
      </c>
      <c r="B91" s="809" t="s">
        <v>1364</v>
      </c>
      <c r="C91" s="810"/>
      <c r="D91" s="810"/>
      <c r="E91" s="810"/>
      <c r="F91" s="810"/>
      <c r="G91" s="811"/>
    </row>
    <row r="92" spans="1:8" s="716" customFormat="1" ht="60.6" customHeight="1" x14ac:dyDescent="0.25">
      <c r="A92" s="705" t="s">
        <v>1353</v>
      </c>
      <c r="B92" s="809" t="s">
        <v>1342</v>
      </c>
      <c r="C92" s="810"/>
      <c r="D92" s="810"/>
      <c r="E92" s="810"/>
      <c r="F92" s="810"/>
      <c r="G92" s="811"/>
    </row>
    <row r="93" spans="1:8" s="716" customFormat="1" ht="29.1" customHeight="1" x14ac:dyDescent="0.25">
      <c r="A93" s="705" t="s">
        <v>1343</v>
      </c>
      <c r="B93" s="801" t="s">
        <v>1194</v>
      </c>
      <c r="C93" s="802"/>
      <c r="D93" s="802"/>
      <c r="E93" s="802"/>
      <c r="F93" s="802"/>
      <c r="G93" s="803"/>
      <c r="H93" s="725"/>
    </row>
    <row r="94" spans="1:8" s="716" customFormat="1" x14ac:dyDescent="0.25">
      <c r="A94" s="705" t="s">
        <v>1346</v>
      </c>
      <c r="B94" s="801" t="s">
        <v>1195</v>
      </c>
      <c r="C94" s="802"/>
      <c r="D94" s="802"/>
      <c r="E94" s="802"/>
      <c r="F94" s="802"/>
      <c r="G94" s="803"/>
    </row>
    <row r="95" spans="1:8" s="716" customFormat="1" ht="14.45" customHeight="1" x14ac:dyDescent="0.25">
      <c r="A95" s="705" t="s">
        <v>1344</v>
      </c>
      <c r="B95" s="801" t="s">
        <v>1196</v>
      </c>
      <c r="C95" s="802"/>
      <c r="D95" s="802"/>
      <c r="E95" s="802"/>
      <c r="F95" s="802"/>
      <c r="G95" s="803"/>
    </row>
    <row r="96" spans="1:8" s="716" customFormat="1" x14ac:dyDescent="0.25">
      <c r="A96" s="705" t="s">
        <v>1345</v>
      </c>
      <c r="B96" s="806" t="s">
        <v>1197</v>
      </c>
      <c r="C96" s="807"/>
      <c r="D96" s="807"/>
      <c r="E96" s="807"/>
      <c r="F96" s="807"/>
      <c r="G96" s="808"/>
    </row>
    <row r="97" spans="1:7" s="716" customFormat="1" ht="30.95" customHeight="1" x14ac:dyDescent="0.25">
      <c r="A97" s="705" t="s">
        <v>1349</v>
      </c>
      <c r="B97" s="806" t="s">
        <v>1348</v>
      </c>
      <c r="C97" s="807"/>
      <c r="D97" s="807"/>
      <c r="E97" s="807"/>
      <c r="F97" s="807"/>
      <c r="G97" s="808"/>
    </row>
    <row r="98" spans="1:7" s="716" customFormat="1" ht="57.6" customHeight="1" x14ac:dyDescent="0.25">
      <c r="A98" s="705" t="s">
        <v>1355</v>
      </c>
      <c r="B98" s="806" t="s">
        <v>1347</v>
      </c>
      <c r="C98" s="807"/>
      <c r="D98" s="807"/>
      <c r="E98" s="807"/>
      <c r="F98" s="807"/>
      <c r="G98" s="808"/>
    </row>
    <row r="99" spans="1:7" s="716" customFormat="1" ht="33.6" customHeight="1" x14ac:dyDescent="0.25">
      <c r="A99" s="705" t="s">
        <v>1356</v>
      </c>
      <c r="B99" s="806" t="s">
        <v>1350</v>
      </c>
      <c r="C99" s="807"/>
      <c r="D99" s="807"/>
      <c r="E99" s="807"/>
      <c r="F99" s="807"/>
      <c r="G99" s="808"/>
    </row>
    <row r="100" spans="1:7" s="716" customFormat="1" ht="60.95" customHeight="1" x14ac:dyDescent="0.25">
      <c r="A100" s="705" t="s">
        <v>1357</v>
      </c>
      <c r="B100" s="806" t="s">
        <v>1354</v>
      </c>
      <c r="C100" s="807"/>
      <c r="D100" s="807"/>
      <c r="E100" s="807"/>
      <c r="F100" s="807"/>
      <c r="G100" s="808"/>
    </row>
    <row r="101" spans="1:7" s="716" customFormat="1" x14ac:dyDescent="0.25">
      <c r="A101" s="708" t="s">
        <v>1337</v>
      </c>
      <c r="B101" s="723"/>
      <c r="C101" s="723"/>
      <c r="D101" s="723"/>
      <c r="E101" s="723"/>
      <c r="F101" s="723"/>
      <c r="G101" s="723"/>
    </row>
    <row r="102" spans="1:7" s="716" customFormat="1" x14ac:dyDescent="0.25">
      <c r="A102" s="708"/>
      <c r="B102" s="723"/>
      <c r="C102" s="723"/>
      <c r="D102" s="723"/>
      <c r="E102" s="723"/>
      <c r="F102" s="723"/>
      <c r="G102" s="723"/>
    </row>
  </sheetData>
  <sheetProtection algorithmName="SHA-512" hashValue="iBJXYSWl0a72h66VQUdIZnr8Yvsp1wiOnWGX2NCwXoKemwLmOLxIVWqmRYHeljP/8fNLRV0AVlghlfqB8YaYRQ==" saltValue="bFNPONOw14DEgjz/+F7iJQ==" spinCount="100000" sheet="1" objects="1" scenarios="1"/>
  <mergeCells count="4758">
    <mergeCell ref="B84:G84"/>
    <mergeCell ref="B85:G85"/>
    <mergeCell ref="B86:G86"/>
    <mergeCell ref="B87:G87"/>
    <mergeCell ref="B88:G88"/>
    <mergeCell ref="B89:G89"/>
    <mergeCell ref="B92:G92"/>
    <mergeCell ref="B98:G98"/>
    <mergeCell ref="B97:G97"/>
    <mergeCell ref="B99:G99"/>
    <mergeCell ref="B90:G90"/>
    <mergeCell ref="B91:G91"/>
    <mergeCell ref="B100:G100"/>
    <mergeCell ref="B13:G13"/>
    <mergeCell ref="B12:G12"/>
    <mergeCell ref="B17:G17"/>
    <mergeCell ref="B18:G18"/>
    <mergeCell ref="B24:G24"/>
    <mergeCell ref="B94:G94"/>
    <mergeCell ref="B95:G95"/>
    <mergeCell ref="B96:G96"/>
    <mergeCell ref="B82:G82"/>
    <mergeCell ref="B93:G93"/>
    <mergeCell ref="B62:G62"/>
    <mergeCell ref="B63:G63"/>
    <mergeCell ref="B64:G64"/>
    <mergeCell ref="B65:G65"/>
    <mergeCell ref="B66:G66"/>
    <mergeCell ref="B69:G69"/>
    <mergeCell ref="B55:G55"/>
    <mergeCell ref="B58:G58"/>
    <mergeCell ref="B59:G59"/>
    <mergeCell ref="XEH74:XEM74"/>
    <mergeCell ref="XEO74:XET74"/>
    <mergeCell ref="XEV74:XEX74"/>
    <mergeCell ref="XCR74:XCW74"/>
    <mergeCell ref="XCY74:XDD74"/>
    <mergeCell ref="XDF74:XDK74"/>
    <mergeCell ref="XDM74:XDR74"/>
    <mergeCell ref="XDT74:XDY74"/>
    <mergeCell ref="XEA74:XEF74"/>
    <mergeCell ref="XBB74:XBG74"/>
    <mergeCell ref="XBI74:XBN74"/>
    <mergeCell ref="XBP74:XBU74"/>
    <mergeCell ref="XBW74:XCB74"/>
    <mergeCell ref="XCD74:XCI74"/>
    <mergeCell ref="XCK74:XCP74"/>
    <mergeCell ref="WZL74:WZQ74"/>
    <mergeCell ref="WZS74:WZX74"/>
    <mergeCell ref="WZZ74:XAE74"/>
    <mergeCell ref="XAG74:XAL74"/>
    <mergeCell ref="XAN74:XAS74"/>
    <mergeCell ref="XAU74:XAZ74"/>
    <mergeCell ref="WYJ74:WYO74"/>
    <mergeCell ref="WYQ74:WYV74"/>
    <mergeCell ref="WYX74:WZC74"/>
    <mergeCell ref="WZE74:WZJ74"/>
    <mergeCell ref="WWF74:WWK74"/>
    <mergeCell ref="WWM74:WWR74"/>
    <mergeCell ref="WWT74:WWY74"/>
    <mergeCell ref="WXA74:WXF74"/>
    <mergeCell ref="WXH74:WXM74"/>
    <mergeCell ref="WXO74:WXT74"/>
    <mergeCell ref="WUP74:WUU74"/>
    <mergeCell ref="WUW74:WVB74"/>
    <mergeCell ref="WVD74:WVI74"/>
    <mergeCell ref="WVK74:WVP74"/>
    <mergeCell ref="WVR74:WVW74"/>
    <mergeCell ref="WVY74:WWD74"/>
    <mergeCell ref="WSZ74:WTE74"/>
    <mergeCell ref="WTG74:WTL74"/>
    <mergeCell ref="WTN74:WTS74"/>
    <mergeCell ref="WTU74:WTZ74"/>
    <mergeCell ref="WUB74:WUG74"/>
    <mergeCell ref="WUI74:WUN74"/>
    <mergeCell ref="WXV74:WYA74"/>
    <mergeCell ref="WYC74:WYH74"/>
    <mergeCell ref="WRJ74:WRO74"/>
    <mergeCell ref="WRQ74:WRV74"/>
    <mergeCell ref="WRX74:WSC74"/>
    <mergeCell ref="WSE74:WSJ74"/>
    <mergeCell ref="WSL74:WSQ74"/>
    <mergeCell ref="WSS74:WSX74"/>
    <mergeCell ref="WPT74:WPY74"/>
    <mergeCell ref="WQA74:WQF74"/>
    <mergeCell ref="WQH74:WQM74"/>
    <mergeCell ref="WQO74:WQT74"/>
    <mergeCell ref="WQV74:WRA74"/>
    <mergeCell ref="WRC74:WRH74"/>
    <mergeCell ref="WOD74:WOI74"/>
    <mergeCell ref="WOK74:WOP74"/>
    <mergeCell ref="WOR74:WOW74"/>
    <mergeCell ref="WOY74:WPD74"/>
    <mergeCell ref="WPF74:WPK74"/>
    <mergeCell ref="WPM74:WPR74"/>
    <mergeCell ref="WMN74:WMS74"/>
    <mergeCell ref="WMU74:WMZ74"/>
    <mergeCell ref="WNB74:WNG74"/>
    <mergeCell ref="WNI74:WNN74"/>
    <mergeCell ref="WNP74:WNU74"/>
    <mergeCell ref="WNW74:WOB74"/>
    <mergeCell ref="WKX74:WLC74"/>
    <mergeCell ref="WLE74:WLJ74"/>
    <mergeCell ref="WLL74:WLQ74"/>
    <mergeCell ref="WLS74:WLX74"/>
    <mergeCell ref="WLZ74:WME74"/>
    <mergeCell ref="WMG74:WML74"/>
    <mergeCell ref="WJH74:WJM74"/>
    <mergeCell ref="WJO74:WJT74"/>
    <mergeCell ref="WJV74:WKA74"/>
    <mergeCell ref="WKC74:WKH74"/>
    <mergeCell ref="WKJ74:WKO74"/>
    <mergeCell ref="WKQ74:WKV74"/>
    <mergeCell ref="WHR74:WHW74"/>
    <mergeCell ref="WHY74:WID74"/>
    <mergeCell ref="WIF74:WIK74"/>
    <mergeCell ref="WIM74:WIR74"/>
    <mergeCell ref="WIT74:WIY74"/>
    <mergeCell ref="WJA74:WJF74"/>
    <mergeCell ref="WGB74:WGG74"/>
    <mergeCell ref="WGI74:WGN74"/>
    <mergeCell ref="WGP74:WGU74"/>
    <mergeCell ref="WGW74:WHB74"/>
    <mergeCell ref="WHD74:WHI74"/>
    <mergeCell ref="WHK74:WHP74"/>
    <mergeCell ref="WEL74:WEQ74"/>
    <mergeCell ref="WES74:WEX74"/>
    <mergeCell ref="WEZ74:WFE74"/>
    <mergeCell ref="WFG74:WFL74"/>
    <mergeCell ref="WFN74:WFS74"/>
    <mergeCell ref="WFU74:WFZ74"/>
    <mergeCell ref="WCV74:WDA74"/>
    <mergeCell ref="WDC74:WDH74"/>
    <mergeCell ref="WDJ74:WDO74"/>
    <mergeCell ref="WDQ74:WDV74"/>
    <mergeCell ref="WDX74:WEC74"/>
    <mergeCell ref="WEE74:WEJ74"/>
    <mergeCell ref="WBF74:WBK74"/>
    <mergeCell ref="WBM74:WBR74"/>
    <mergeCell ref="WBT74:WBY74"/>
    <mergeCell ref="WCA74:WCF74"/>
    <mergeCell ref="WCH74:WCM74"/>
    <mergeCell ref="WCO74:WCT74"/>
    <mergeCell ref="VZP74:VZU74"/>
    <mergeCell ref="VZW74:WAB74"/>
    <mergeCell ref="WAD74:WAI74"/>
    <mergeCell ref="WAK74:WAP74"/>
    <mergeCell ref="WAR74:WAW74"/>
    <mergeCell ref="WAY74:WBD74"/>
    <mergeCell ref="VXZ74:VYE74"/>
    <mergeCell ref="VYG74:VYL74"/>
    <mergeCell ref="VYN74:VYS74"/>
    <mergeCell ref="VYU74:VYZ74"/>
    <mergeCell ref="VZB74:VZG74"/>
    <mergeCell ref="VZI74:VZN74"/>
    <mergeCell ref="VWJ74:VWO74"/>
    <mergeCell ref="VWQ74:VWV74"/>
    <mergeCell ref="VWX74:VXC74"/>
    <mergeCell ref="VXE74:VXJ74"/>
    <mergeCell ref="VXL74:VXQ74"/>
    <mergeCell ref="VXS74:VXX74"/>
    <mergeCell ref="VUT74:VUY74"/>
    <mergeCell ref="VVA74:VVF74"/>
    <mergeCell ref="VVH74:VVM74"/>
    <mergeCell ref="VVO74:VVT74"/>
    <mergeCell ref="VVV74:VWA74"/>
    <mergeCell ref="VWC74:VWH74"/>
    <mergeCell ref="VTD74:VTI74"/>
    <mergeCell ref="VTK74:VTP74"/>
    <mergeCell ref="VTR74:VTW74"/>
    <mergeCell ref="VTY74:VUD74"/>
    <mergeCell ref="VUF74:VUK74"/>
    <mergeCell ref="VUM74:VUR74"/>
    <mergeCell ref="VRN74:VRS74"/>
    <mergeCell ref="VRU74:VRZ74"/>
    <mergeCell ref="VSB74:VSG74"/>
    <mergeCell ref="VSI74:VSN74"/>
    <mergeCell ref="VSP74:VSU74"/>
    <mergeCell ref="VSW74:VTB74"/>
    <mergeCell ref="VPX74:VQC74"/>
    <mergeCell ref="VQE74:VQJ74"/>
    <mergeCell ref="VQL74:VQQ74"/>
    <mergeCell ref="VQS74:VQX74"/>
    <mergeCell ref="VQZ74:VRE74"/>
    <mergeCell ref="VRG74:VRL74"/>
    <mergeCell ref="VOH74:VOM74"/>
    <mergeCell ref="VOO74:VOT74"/>
    <mergeCell ref="VOV74:VPA74"/>
    <mergeCell ref="VPC74:VPH74"/>
    <mergeCell ref="VPJ74:VPO74"/>
    <mergeCell ref="VPQ74:VPV74"/>
    <mergeCell ref="VMR74:VMW74"/>
    <mergeCell ref="VMY74:VND74"/>
    <mergeCell ref="VNF74:VNK74"/>
    <mergeCell ref="VNM74:VNR74"/>
    <mergeCell ref="VNT74:VNY74"/>
    <mergeCell ref="VOA74:VOF74"/>
    <mergeCell ref="VLB74:VLG74"/>
    <mergeCell ref="VLI74:VLN74"/>
    <mergeCell ref="VLP74:VLU74"/>
    <mergeCell ref="VLW74:VMB74"/>
    <mergeCell ref="VMD74:VMI74"/>
    <mergeCell ref="VMK74:VMP74"/>
    <mergeCell ref="VJL74:VJQ74"/>
    <mergeCell ref="VJS74:VJX74"/>
    <mergeCell ref="VJZ74:VKE74"/>
    <mergeCell ref="VKG74:VKL74"/>
    <mergeCell ref="VKN74:VKS74"/>
    <mergeCell ref="VKU74:VKZ74"/>
    <mergeCell ref="VHV74:VIA74"/>
    <mergeCell ref="VIC74:VIH74"/>
    <mergeCell ref="VIJ74:VIO74"/>
    <mergeCell ref="VIQ74:VIV74"/>
    <mergeCell ref="VIX74:VJC74"/>
    <mergeCell ref="VJE74:VJJ74"/>
    <mergeCell ref="VGF74:VGK74"/>
    <mergeCell ref="VGM74:VGR74"/>
    <mergeCell ref="VGT74:VGY74"/>
    <mergeCell ref="VHA74:VHF74"/>
    <mergeCell ref="VHH74:VHM74"/>
    <mergeCell ref="VHO74:VHT74"/>
    <mergeCell ref="VEP74:VEU74"/>
    <mergeCell ref="VEW74:VFB74"/>
    <mergeCell ref="VFD74:VFI74"/>
    <mergeCell ref="VFK74:VFP74"/>
    <mergeCell ref="VFR74:VFW74"/>
    <mergeCell ref="VFY74:VGD74"/>
    <mergeCell ref="VCZ74:VDE74"/>
    <mergeCell ref="VDG74:VDL74"/>
    <mergeCell ref="VDN74:VDS74"/>
    <mergeCell ref="VDU74:VDZ74"/>
    <mergeCell ref="VEB74:VEG74"/>
    <mergeCell ref="VEI74:VEN74"/>
    <mergeCell ref="VBJ74:VBO74"/>
    <mergeCell ref="VBQ74:VBV74"/>
    <mergeCell ref="VBX74:VCC74"/>
    <mergeCell ref="VCE74:VCJ74"/>
    <mergeCell ref="VCL74:VCQ74"/>
    <mergeCell ref="VCS74:VCX74"/>
    <mergeCell ref="UZT74:UZY74"/>
    <mergeCell ref="VAA74:VAF74"/>
    <mergeCell ref="VAH74:VAM74"/>
    <mergeCell ref="VAO74:VAT74"/>
    <mergeCell ref="VAV74:VBA74"/>
    <mergeCell ref="VBC74:VBH74"/>
    <mergeCell ref="UYD74:UYI74"/>
    <mergeCell ref="UYK74:UYP74"/>
    <mergeCell ref="UYR74:UYW74"/>
    <mergeCell ref="UYY74:UZD74"/>
    <mergeCell ref="UZF74:UZK74"/>
    <mergeCell ref="UZM74:UZR74"/>
    <mergeCell ref="UWN74:UWS74"/>
    <mergeCell ref="UWU74:UWZ74"/>
    <mergeCell ref="UXB74:UXG74"/>
    <mergeCell ref="UXI74:UXN74"/>
    <mergeCell ref="UXP74:UXU74"/>
    <mergeCell ref="UXW74:UYB74"/>
    <mergeCell ref="UUX74:UVC74"/>
    <mergeCell ref="UVE74:UVJ74"/>
    <mergeCell ref="UVL74:UVQ74"/>
    <mergeCell ref="UVS74:UVX74"/>
    <mergeCell ref="UVZ74:UWE74"/>
    <mergeCell ref="UWG74:UWL74"/>
    <mergeCell ref="UTH74:UTM74"/>
    <mergeCell ref="UTO74:UTT74"/>
    <mergeCell ref="UTV74:UUA74"/>
    <mergeCell ref="UUC74:UUH74"/>
    <mergeCell ref="UUJ74:UUO74"/>
    <mergeCell ref="UUQ74:UUV74"/>
    <mergeCell ref="URR74:URW74"/>
    <mergeCell ref="URY74:USD74"/>
    <mergeCell ref="USF74:USK74"/>
    <mergeCell ref="USM74:USR74"/>
    <mergeCell ref="UST74:USY74"/>
    <mergeCell ref="UTA74:UTF74"/>
    <mergeCell ref="UQB74:UQG74"/>
    <mergeCell ref="UQI74:UQN74"/>
    <mergeCell ref="UQP74:UQU74"/>
    <mergeCell ref="UQW74:URB74"/>
    <mergeCell ref="URD74:URI74"/>
    <mergeCell ref="URK74:URP74"/>
    <mergeCell ref="UOL74:UOQ74"/>
    <mergeCell ref="UOS74:UOX74"/>
    <mergeCell ref="UOZ74:UPE74"/>
    <mergeCell ref="UPG74:UPL74"/>
    <mergeCell ref="UPN74:UPS74"/>
    <mergeCell ref="UPU74:UPZ74"/>
    <mergeCell ref="UMV74:UNA74"/>
    <mergeCell ref="UNC74:UNH74"/>
    <mergeCell ref="UNJ74:UNO74"/>
    <mergeCell ref="UNQ74:UNV74"/>
    <mergeCell ref="UNX74:UOC74"/>
    <mergeCell ref="UOE74:UOJ74"/>
    <mergeCell ref="ULF74:ULK74"/>
    <mergeCell ref="ULM74:ULR74"/>
    <mergeCell ref="ULT74:ULY74"/>
    <mergeCell ref="UMA74:UMF74"/>
    <mergeCell ref="UMH74:UMM74"/>
    <mergeCell ref="UMO74:UMT74"/>
    <mergeCell ref="UJP74:UJU74"/>
    <mergeCell ref="UJW74:UKB74"/>
    <mergeCell ref="UKD74:UKI74"/>
    <mergeCell ref="UKK74:UKP74"/>
    <mergeCell ref="UKR74:UKW74"/>
    <mergeCell ref="UKY74:ULD74"/>
    <mergeCell ref="UHZ74:UIE74"/>
    <mergeCell ref="UIG74:UIL74"/>
    <mergeCell ref="UIN74:UIS74"/>
    <mergeCell ref="UIU74:UIZ74"/>
    <mergeCell ref="UJB74:UJG74"/>
    <mergeCell ref="UJI74:UJN74"/>
    <mergeCell ref="UGJ74:UGO74"/>
    <mergeCell ref="UGQ74:UGV74"/>
    <mergeCell ref="UGX74:UHC74"/>
    <mergeCell ref="UHE74:UHJ74"/>
    <mergeCell ref="UHL74:UHQ74"/>
    <mergeCell ref="UHS74:UHX74"/>
    <mergeCell ref="UET74:UEY74"/>
    <mergeCell ref="UFA74:UFF74"/>
    <mergeCell ref="UFH74:UFM74"/>
    <mergeCell ref="UFO74:UFT74"/>
    <mergeCell ref="UFV74:UGA74"/>
    <mergeCell ref="UGC74:UGH74"/>
    <mergeCell ref="UDD74:UDI74"/>
    <mergeCell ref="UDK74:UDP74"/>
    <mergeCell ref="UDR74:UDW74"/>
    <mergeCell ref="UDY74:UED74"/>
    <mergeCell ref="UEF74:UEK74"/>
    <mergeCell ref="UEM74:UER74"/>
    <mergeCell ref="UBN74:UBS74"/>
    <mergeCell ref="UBU74:UBZ74"/>
    <mergeCell ref="UCB74:UCG74"/>
    <mergeCell ref="UCI74:UCN74"/>
    <mergeCell ref="UCP74:UCU74"/>
    <mergeCell ref="UCW74:UDB74"/>
    <mergeCell ref="TZX74:UAC74"/>
    <mergeCell ref="UAE74:UAJ74"/>
    <mergeCell ref="UAL74:UAQ74"/>
    <mergeCell ref="UAS74:UAX74"/>
    <mergeCell ref="UAZ74:UBE74"/>
    <mergeCell ref="UBG74:UBL74"/>
    <mergeCell ref="TYH74:TYM74"/>
    <mergeCell ref="TYO74:TYT74"/>
    <mergeCell ref="TYV74:TZA74"/>
    <mergeCell ref="TZC74:TZH74"/>
    <mergeCell ref="TZJ74:TZO74"/>
    <mergeCell ref="TZQ74:TZV74"/>
    <mergeCell ref="TWR74:TWW74"/>
    <mergeCell ref="TWY74:TXD74"/>
    <mergeCell ref="TXF74:TXK74"/>
    <mergeCell ref="TXM74:TXR74"/>
    <mergeCell ref="TXT74:TXY74"/>
    <mergeCell ref="TYA74:TYF74"/>
    <mergeCell ref="TVB74:TVG74"/>
    <mergeCell ref="TVI74:TVN74"/>
    <mergeCell ref="TVP74:TVU74"/>
    <mergeCell ref="TVW74:TWB74"/>
    <mergeCell ref="TWD74:TWI74"/>
    <mergeCell ref="TWK74:TWP74"/>
    <mergeCell ref="TTL74:TTQ74"/>
    <mergeCell ref="TTS74:TTX74"/>
    <mergeCell ref="TTZ74:TUE74"/>
    <mergeCell ref="TUG74:TUL74"/>
    <mergeCell ref="TUN74:TUS74"/>
    <mergeCell ref="TUU74:TUZ74"/>
    <mergeCell ref="TRV74:TSA74"/>
    <mergeCell ref="TSC74:TSH74"/>
    <mergeCell ref="TSJ74:TSO74"/>
    <mergeCell ref="TSQ74:TSV74"/>
    <mergeCell ref="TSX74:TTC74"/>
    <mergeCell ref="TTE74:TTJ74"/>
    <mergeCell ref="TQF74:TQK74"/>
    <mergeCell ref="TQM74:TQR74"/>
    <mergeCell ref="TQT74:TQY74"/>
    <mergeCell ref="TRA74:TRF74"/>
    <mergeCell ref="TRH74:TRM74"/>
    <mergeCell ref="TRO74:TRT74"/>
    <mergeCell ref="TOP74:TOU74"/>
    <mergeCell ref="TOW74:TPB74"/>
    <mergeCell ref="TPD74:TPI74"/>
    <mergeCell ref="TPK74:TPP74"/>
    <mergeCell ref="TPR74:TPW74"/>
    <mergeCell ref="TPY74:TQD74"/>
    <mergeCell ref="TMZ74:TNE74"/>
    <mergeCell ref="TNG74:TNL74"/>
    <mergeCell ref="TNN74:TNS74"/>
    <mergeCell ref="TNU74:TNZ74"/>
    <mergeCell ref="TOB74:TOG74"/>
    <mergeCell ref="TOI74:TON74"/>
    <mergeCell ref="TLJ74:TLO74"/>
    <mergeCell ref="TLQ74:TLV74"/>
    <mergeCell ref="TLX74:TMC74"/>
    <mergeCell ref="TME74:TMJ74"/>
    <mergeCell ref="TML74:TMQ74"/>
    <mergeCell ref="TMS74:TMX74"/>
    <mergeCell ref="TJT74:TJY74"/>
    <mergeCell ref="TKA74:TKF74"/>
    <mergeCell ref="TKH74:TKM74"/>
    <mergeCell ref="TKO74:TKT74"/>
    <mergeCell ref="TKV74:TLA74"/>
    <mergeCell ref="TLC74:TLH74"/>
    <mergeCell ref="TID74:TII74"/>
    <mergeCell ref="TIK74:TIP74"/>
    <mergeCell ref="TIR74:TIW74"/>
    <mergeCell ref="TIY74:TJD74"/>
    <mergeCell ref="TJF74:TJK74"/>
    <mergeCell ref="TJM74:TJR74"/>
    <mergeCell ref="TGN74:TGS74"/>
    <mergeCell ref="TGU74:TGZ74"/>
    <mergeCell ref="THB74:THG74"/>
    <mergeCell ref="THI74:THN74"/>
    <mergeCell ref="THP74:THU74"/>
    <mergeCell ref="THW74:TIB74"/>
    <mergeCell ref="TEX74:TFC74"/>
    <mergeCell ref="TFE74:TFJ74"/>
    <mergeCell ref="TFL74:TFQ74"/>
    <mergeCell ref="TFS74:TFX74"/>
    <mergeCell ref="TFZ74:TGE74"/>
    <mergeCell ref="TGG74:TGL74"/>
    <mergeCell ref="TDH74:TDM74"/>
    <mergeCell ref="TDO74:TDT74"/>
    <mergeCell ref="TDV74:TEA74"/>
    <mergeCell ref="TEC74:TEH74"/>
    <mergeCell ref="TEJ74:TEO74"/>
    <mergeCell ref="TEQ74:TEV74"/>
    <mergeCell ref="TBR74:TBW74"/>
    <mergeCell ref="TBY74:TCD74"/>
    <mergeCell ref="TCF74:TCK74"/>
    <mergeCell ref="TCM74:TCR74"/>
    <mergeCell ref="TCT74:TCY74"/>
    <mergeCell ref="TDA74:TDF74"/>
    <mergeCell ref="TAB74:TAG74"/>
    <mergeCell ref="TAI74:TAN74"/>
    <mergeCell ref="TAP74:TAU74"/>
    <mergeCell ref="TAW74:TBB74"/>
    <mergeCell ref="TBD74:TBI74"/>
    <mergeCell ref="TBK74:TBP74"/>
    <mergeCell ref="SYL74:SYQ74"/>
    <mergeCell ref="SYS74:SYX74"/>
    <mergeCell ref="SYZ74:SZE74"/>
    <mergeCell ref="SZG74:SZL74"/>
    <mergeCell ref="SZN74:SZS74"/>
    <mergeCell ref="SZU74:SZZ74"/>
    <mergeCell ref="SWV74:SXA74"/>
    <mergeCell ref="SXC74:SXH74"/>
    <mergeCell ref="SXJ74:SXO74"/>
    <mergeCell ref="SXQ74:SXV74"/>
    <mergeCell ref="SXX74:SYC74"/>
    <mergeCell ref="SYE74:SYJ74"/>
    <mergeCell ref="SVF74:SVK74"/>
    <mergeCell ref="SVM74:SVR74"/>
    <mergeCell ref="SVT74:SVY74"/>
    <mergeCell ref="SWA74:SWF74"/>
    <mergeCell ref="SWH74:SWM74"/>
    <mergeCell ref="SWO74:SWT74"/>
    <mergeCell ref="STP74:STU74"/>
    <mergeCell ref="STW74:SUB74"/>
    <mergeCell ref="SUD74:SUI74"/>
    <mergeCell ref="SUK74:SUP74"/>
    <mergeCell ref="SUR74:SUW74"/>
    <mergeCell ref="SUY74:SVD74"/>
    <mergeCell ref="SRZ74:SSE74"/>
    <mergeCell ref="SSG74:SSL74"/>
    <mergeCell ref="SSN74:SSS74"/>
    <mergeCell ref="SSU74:SSZ74"/>
    <mergeCell ref="STB74:STG74"/>
    <mergeCell ref="STI74:STN74"/>
    <mergeCell ref="SQJ74:SQO74"/>
    <mergeCell ref="SQQ74:SQV74"/>
    <mergeCell ref="SQX74:SRC74"/>
    <mergeCell ref="SRE74:SRJ74"/>
    <mergeCell ref="SRL74:SRQ74"/>
    <mergeCell ref="SRS74:SRX74"/>
    <mergeCell ref="SOT74:SOY74"/>
    <mergeCell ref="SPA74:SPF74"/>
    <mergeCell ref="SPH74:SPM74"/>
    <mergeCell ref="SPO74:SPT74"/>
    <mergeCell ref="SPV74:SQA74"/>
    <mergeCell ref="SQC74:SQH74"/>
    <mergeCell ref="SND74:SNI74"/>
    <mergeCell ref="SNK74:SNP74"/>
    <mergeCell ref="SNR74:SNW74"/>
    <mergeCell ref="SNY74:SOD74"/>
    <mergeCell ref="SOF74:SOK74"/>
    <mergeCell ref="SOM74:SOR74"/>
    <mergeCell ref="SLN74:SLS74"/>
    <mergeCell ref="SLU74:SLZ74"/>
    <mergeCell ref="SMB74:SMG74"/>
    <mergeCell ref="SMI74:SMN74"/>
    <mergeCell ref="SMP74:SMU74"/>
    <mergeCell ref="SMW74:SNB74"/>
    <mergeCell ref="SJX74:SKC74"/>
    <mergeCell ref="SKE74:SKJ74"/>
    <mergeCell ref="SKL74:SKQ74"/>
    <mergeCell ref="SKS74:SKX74"/>
    <mergeCell ref="SKZ74:SLE74"/>
    <mergeCell ref="SLG74:SLL74"/>
    <mergeCell ref="SIH74:SIM74"/>
    <mergeCell ref="SIO74:SIT74"/>
    <mergeCell ref="SIV74:SJA74"/>
    <mergeCell ref="SJC74:SJH74"/>
    <mergeCell ref="SJJ74:SJO74"/>
    <mergeCell ref="SJQ74:SJV74"/>
    <mergeCell ref="SGR74:SGW74"/>
    <mergeCell ref="SGY74:SHD74"/>
    <mergeCell ref="SHF74:SHK74"/>
    <mergeCell ref="SHM74:SHR74"/>
    <mergeCell ref="SHT74:SHY74"/>
    <mergeCell ref="SIA74:SIF74"/>
    <mergeCell ref="SFB74:SFG74"/>
    <mergeCell ref="SFI74:SFN74"/>
    <mergeCell ref="SFP74:SFU74"/>
    <mergeCell ref="SFW74:SGB74"/>
    <mergeCell ref="SGD74:SGI74"/>
    <mergeCell ref="SGK74:SGP74"/>
    <mergeCell ref="SDL74:SDQ74"/>
    <mergeCell ref="SDS74:SDX74"/>
    <mergeCell ref="SDZ74:SEE74"/>
    <mergeCell ref="SEG74:SEL74"/>
    <mergeCell ref="SEN74:SES74"/>
    <mergeCell ref="SEU74:SEZ74"/>
    <mergeCell ref="SBV74:SCA74"/>
    <mergeCell ref="SCC74:SCH74"/>
    <mergeCell ref="SCJ74:SCO74"/>
    <mergeCell ref="SCQ74:SCV74"/>
    <mergeCell ref="SCX74:SDC74"/>
    <mergeCell ref="SDE74:SDJ74"/>
    <mergeCell ref="SAF74:SAK74"/>
    <mergeCell ref="SAM74:SAR74"/>
    <mergeCell ref="SAT74:SAY74"/>
    <mergeCell ref="SBA74:SBF74"/>
    <mergeCell ref="SBH74:SBM74"/>
    <mergeCell ref="SBO74:SBT74"/>
    <mergeCell ref="RYP74:RYU74"/>
    <mergeCell ref="RYW74:RZB74"/>
    <mergeCell ref="RZD74:RZI74"/>
    <mergeCell ref="RZK74:RZP74"/>
    <mergeCell ref="RZR74:RZW74"/>
    <mergeCell ref="RZY74:SAD74"/>
    <mergeCell ref="RWZ74:RXE74"/>
    <mergeCell ref="RXG74:RXL74"/>
    <mergeCell ref="RXN74:RXS74"/>
    <mergeCell ref="RXU74:RXZ74"/>
    <mergeCell ref="RYB74:RYG74"/>
    <mergeCell ref="RYI74:RYN74"/>
    <mergeCell ref="RVJ74:RVO74"/>
    <mergeCell ref="RVQ74:RVV74"/>
    <mergeCell ref="RVX74:RWC74"/>
    <mergeCell ref="RWE74:RWJ74"/>
    <mergeCell ref="RWL74:RWQ74"/>
    <mergeCell ref="RWS74:RWX74"/>
    <mergeCell ref="RTT74:RTY74"/>
    <mergeCell ref="RUA74:RUF74"/>
    <mergeCell ref="RUH74:RUM74"/>
    <mergeCell ref="RUO74:RUT74"/>
    <mergeCell ref="RUV74:RVA74"/>
    <mergeCell ref="RVC74:RVH74"/>
    <mergeCell ref="RSD74:RSI74"/>
    <mergeCell ref="RSK74:RSP74"/>
    <mergeCell ref="RSR74:RSW74"/>
    <mergeCell ref="RSY74:RTD74"/>
    <mergeCell ref="RTF74:RTK74"/>
    <mergeCell ref="RTM74:RTR74"/>
    <mergeCell ref="RQN74:RQS74"/>
    <mergeCell ref="RQU74:RQZ74"/>
    <mergeCell ref="RRB74:RRG74"/>
    <mergeCell ref="RRI74:RRN74"/>
    <mergeCell ref="RRP74:RRU74"/>
    <mergeCell ref="RRW74:RSB74"/>
    <mergeCell ref="ROX74:RPC74"/>
    <mergeCell ref="RPE74:RPJ74"/>
    <mergeCell ref="RPL74:RPQ74"/>
    <mergeCell ref="RPS74:RPX74"/>
    <mergeCell ref="RPZ74:RQE74"/>
    <mergeCell ref="RQG74:RQL74"/>
    <mergeCell ref="RNH74:RNM74"/>
    <mergeCell ref="RNO74:RNT74"/>
    <mergeCell ref="RNV74:ROA74"/>
    <mergeCell ref="ROC74:ROH74"/>
    <mergeCell ref="ROJ74:ROO74"/>
    <mergeCell ref="ROQ74:ROV74"/>
    <mergeCell ref="RLR74:RLW74"/>
    <mergeCell ref="RLY74:RMD74"/>
    <mergeCell ref="RMF74:RMK74"/>
    <mergeCell ref="RMM74:RMR74"/>
    <mergeCell ref="RMT74:RMY74"/>
    <mergeCell ref="RNA74:RNF74"/>
    <mergeCell ref="RKB74:RKG74"/>
    <mergeCell ref="RKI74:RKN74"/>
    <mergeCell ref="RKP74:RKU74"/>
    <mergeCell ref="RKW74:RLB74"/>
    <mergeCell ref="RLD74:RLI74"/>
    <mergeCell ref="RLK74:RLP74"/>
    <mergeCell ref="RIL74:RIQ74"/>
    <mergeCell ref="RIS74:RIX74"/>
    <mergeCell ref="RIZ74:RJE74"/>
    <mergeCell ref="RJG74:RJL74"/>
    <mergeCell ref="RJN74:RJS74"/>
    <mergeCell ref="RJU74:RJZ74"/>
    <mergeCell ref="RGV74:RHA74"/>
    <mergeCell ref="RHC74:RHH74"/>
    <mergeCell ref="RHJ74:RHO74"/>
    <mergeCell ref="RHQ74:RHV74"/>
    <mergeCell ref="RHX74:RIC74"/>
    <mergeCell ref="RIE74:RIJ74"/>
    <mergeCell ref="RFF74:RFK74"/>
    <mergeCell ref="RFM74:RFR74"/>
    <mergeCell ref="RFT74:RFY74"/>
    <mergeCell ref="RGA74:RGF74"/>
    <mergeCell ref="RGH74:RGM74"/>
    <mergeCell ref="RGO74:RGT74"/>
    <mergeCell ref="RDP74:RDU74"/>
    <mergeCell ref="RDW74:REB74"/>
    <mergeCell ref="RED74:REI74"/>
    <mergeCell ref="REK74:REP74"/>
    <mergeCell ref="RER74:REW74"/>
    <mergeCell ref="REY74:RFD74"/>
    <mergeCell ref="RBZ74:RCE74"/>
    <mergeCell ref="RCG74:RCL74"/>
    <mergeCell ref="RCN74:RCS74"/>
    <mergeCell ref="RCU74:RCZ74"/>
    <mergeCell ref="RDB74:RDG74"/>
    <mergeCell ref="RDI74:RDN74"/>
    <mergeCell ref="RAJ74:RAO74"/>
    <mergeCell ref="RAQ74:RAV74"/>
    <mergeCell ref="RAX74:RBC74"/>
    <mergeCell ref="RBE74:RBJ74"/>
    <mergeCell ref="RBL74:RBQ74"/>
    <mergeCell ref="RBS74:RBX74"/>
    <mergeCell ref="QYT74:QYY74"/>
    <mergeCell ref="QZA74:QZF74"/>
    <mergeCell ref="QZH74:QZM74"/>
    <mergeCell ref="QZO74:QZT74"/>
    <mergeCell ref="QZV74:RAA74"/>
    <mergeCell ref="RAC74:RAH74"/>
    <mergeCell ref="QXD74:QXI74"/>
    <mergeCell ref="QXK74:QXP74"/>
    <mergeCell ref="QXR74:QXW74"/>
    <mergeCell ref="QXY74:QYD74"/>
    <mergeCell ref="QYF74:QYK74"/>
    <mergeCell ref="QYM74:QYR74"/>
    <mergeCell ref="QVN74:QVS74"/>
    <mergeCell ref="QVU74:QVZ74"/>
    <mergeCell ref="QWB74:QWG74"/>
    <mergeCell ref="QWI74:QWN74"/>
    <mergeCell ref="QWP74:QWU74"/>
    <mergeCell ref="QWW74:QXB74"/>
    <mergeCell ref="QTX74:QUC74"/>
    <mergeCell ref="QUE74:QUJ74"/>
    <mergeCell ref="QUL74:QUQ74"/>
    <mergeCell ref="QUS74:QUX74"/>
    <mergeCell ref="QUZ74:QVE74"/>
    <mergeCell ref="QVG74:QVL74"/>
    <mergeCell ref="QSH74:QSM74"/>
    <mergeCell ref="QSO74:QST74"/>
    <mergeCell ref="QSV74:QTA74"/>
    <mergeCell ref="QTC74:QTH74"/>
    <mergeCell ref="QTJ74:QTO74"/>
    <mergeCell ref="QTQ74:QTV74"/>
    <mergeCell ref="QQR74:QQW74"/>
    <mergeCell ref="QQY74:QRD74"/>
    <mergeCell ref="QRF74:QRK74"/>
    <mergeCell ref="QRM74:QRR74"/>
    <mergeCell ref="QRT74:QRY74"/>
    <mergeCell ref="QSA74:QSF74"/>
    <mergeCell ref="QPB74:QPG74"/>
    <mergeCell ref="QPI74:QPN74"/>
    <mergeCell ref="QPP74:QPU74"/>
    <mergeCell ref="QPW74:QQB74"/>
    <mergeCell ref="QQD74:QQI74"/>
    <mergeCell ref="QQK74:QQP74"/>
    <mergeCell ref="QNL74:QNQ74"/>
    <mergeCell ref="QNS74:QNX74"/>
    <mergeCell ref="QNZ74:QOE74"/>
    <mergeCell ref="QOG74:QOL74"/>
    <mergeCell ref="QON74:QOS74"/>
    <mergeCell ref="QOU74:QOZ74"/>
    <mergeCell ref="QLV74:QMA74"/>
    <mergeCell ref="QMC74:QMH74"/>
    <mergeCell ref="QMJ74:QMO74"/>
    <mergeCell ref="QMQ74:QMV74"/>
    <mergeCell ref="QMX74:QNC74"/>
    <mergeCell ref="QNE74:QNJ74"/>
    <mergeCell ref="QKF74:QKK74"/>
    <mergeCell ref="QKM74:QKR74"/>
    <mergeCell ref="QKT74:QKY74"/>
    <mergeCell ref="QLA74:QLF74"/>
    <mergeCell ref="QLH74:QLM74"/>
    <mergeCell ref="QLO74:QLT74"/>
    <mergeCell ref="QIP74:QIU74"/>
    <mergeCell ref="QIW74:QJB74"/>
    <mergeCell ref="QJD74:QJI74"/>
    <mergeCell ref="QJK74:QJP74"/>
    <mergeCell ref="QJR74:QJW74"/>
    <mergeCell ref="QJY74:QKD74"/>
    <mergeCell ref="QGZ74:QHE74"/>
    <mergeCell ref="QHG74:QHL74"/>
    <mergeCell ref="QHN74:QHS74"/>
    <mergeCell ref="QHU74:QHZ74"/>
    <mergeCell ref="QIB74:QIG74"/>
    <mergeCell ref="QII74:QIN74"/>
    <mergeCell ref="QFJ74:QFO74"/>
    <mergeCell ref="QFQ74:QFV74"/>
    <mergeCell ref="QFX74:QGC74"/>
    <mergeCell ref="QGE74:QGJ74"/>
    <mergeCell ref="QGL74:QGQ74"/>
    <mergeCell ref="QGS74:QGX74"/>
    <mergeCell ref="QDT74:QDY74"/>
    <mergeCell ref="QEA74:QEF74"/>
    <mergeCell ref="QEH74:QEM74"/>
    <mergeCell ref="QEO74:QET74"/>
    <mergeCell ref="QEV74:QFA74"/>
    <mergeCell ref="QFC74:QFH74"/>
    <mergeCell ref="QCD74:QCI74"/>
    <mergeCell ref="QCK74:QCP74"/>
    <mergeCell ref="QCR74:QCW74"/>
    <mergeCell ref="QCY74:QDD74"/>
    <mergeCell ref="QDF74:QDK74"/>
    <mergeCell ref="QDM74:QDR74"/>
    <mergeCell ref="QAN74:QAS74"/>
    <mergeCell ref="QAU74:QAZ74"/>
    <mergeCell ref="QBB74:QBG74"/>
    <mergeCell ref="QBI74:QBN74"/>
    <mergeCell ref="QBP74:QBU74"/>
    <mergeCell ref="QBW74:QCB74"/>
    <mergeCell ref="PYX74:PZC74"/>
    <mergeCell ref="PZE74:PZJ74"/>
    <mergeCell ref="PZL74:PZQ74"/>
    <mergeCell ref="PZS74:PZX74"/>
    <mergeCell ref="PZZ74:QAE74"/>
    <mergeCell ref="QAG74:QAL74"/>
    <mergeCell ref="PXH74:PXM74"/>
    <mergeCell ref="PXO74:PXT74"/>
    <mergeCell ref="PXV74:PYA74"/>
    <mergeCell ref="PYC74:PYH74"/>
    <mergeCell ref="PYJ74:PYO74"/>
    <mergeCell ref="PYQ74:PYV74"/>
    <mergeCell ref="PVR74:PVW74"/>
    <mergeCell ref="PVY74:PWD74"/>
    <mergeCell ref="PWF74:PWK74"/>
    <mergeCell ref="PWM74:PWR74"/>
    <mergeCell ref="PWT74:PWY74"/>
    <mergeCell ref="PXA74:PXF74"/>
    <mergeCell ref="PUB74:PUG74"/>
    <mergeCell ref="PUI74:PUN74"/>
    <mergeCell ref="PUP74:PUU74"/>
    <mergeCell ref="PUW74:PVB74"/>
    <mergeCell ref="PVD74:PVI74"/>
    <mergeCell ref="PVK74:PVP74"/>
    <mergeCell ref="PSL74:PSQ74"/>
    <mergeCell ref="PSS74:PSX74"/>
    <mergeCell ref="PSZ74:PTE74"/>
    <mergeCell ref="PTG74:PTL74"/>
    <mergeCell ref="PTN74:PTS74"/>
    <mergeCell ref="PTU74:PTZ74"/>
    <mergeCell ref="PQV74:PRA74"/>
    <mergeCell ref="PRC74:PRH74"/>
    <mergeCell ref="PRJ74:PRO74"/>
    <mergeCell ref="PRQ74:PRV74"/>
    <mergeCell ref="PRX74:PSC74"/>
    <mergeCell ref="PSE74:PSJ74"/>
    <mergeCell ref="PPF74:PPK74"/>
    <mergeCell ref="PPM74:PPR74"/>
    <mergeCell ref="PPT74:PPY74"/>
    <mergeCell ref="PQA74:PQF74"/>
    <mergeCell ref="PQH74:PQM74"/>
    <mergeCell ref="PQO74:PQT74"/>
    <mergeCell ref="PNP74:PNU74"/>
    <mergeCell ref="PNW74:POB74"/>
    <mergeCell ref="POD74:POI74"/>
    <mergeCell ref="POK74:POP74"/>
    <mergeCell ref="POR74:POW74"/>
    <mergeCell ref="POY74:PPD74"/>
    <mergeCell ref="PLZ74:PME74"/>
    <mergeCell ref="PMG74:PML74"/>
    <mergeCell ref="PMN74:PMS74"/>
    <mergeCell ref="PMU74:PMZ74"/>
    <mergeCell ref="PNB74:PNG74"/>
    <mergeCell ref="PNI74:PNN74"/>
    <mergeCell ref="PKJ74:PKO74"/>
    <mergeCell ref="PKQ74:PKV74"/>
    <mergeCell ref="PKX74:PLC74"/>
    <mergeCell ref="PLE74:PLJ74"/>
    <mergeCell ref="PLL74:PLQ74"/>
    <mergeCell ref="PLS74:PLX74"/>
    <mergeCell ref="PIT74:PIY74"/>
    <mergeCell ref="PJA74:PJF74"/>
    <mergeCell ref="PJH74:PJM74"/>
    <mergeCell ref="PJO74:PJT74"/>
    <mergeCell ref="PJV74:PKA74"/>
    <mergeCell ref="PKC74:PKH74"/>
    <mergeCell ref="PHD74:PHI74"/>
    <mergeCell ref="PHK74:PHP74"/>
    <mergeCell ref="PHR74:PHW74"/>
    <mergeCell ref="PHY74:PID74"/>
    <mergeCell ref="PIF74:PIK74"/>
    <mergeCell ref="PIM74:PIR74"/>
    <mergeCell ref="PFN74:PFS74"/>
    <mergeCell ref="PFU74:PFZ74"/>
    <mergeCell ref="PGB74:PGG74"/>
    <mergeCell ref="PGI74:PGN74"/>
    <mergeCell ref="PGP74:PGU74"/>
    <mergeCell ref="PGW74:PHB74"/>
    <mergeCell ref="PDX74:PEC74"/>
    <mergeCell ref="PEE74:PEJ74"/>
    <mergeCell ref="PEL74:PEQ74"/>
    <mergeCell ref="PES74:PEX74"/>
    <mergeCell ref="PEZ74:PFE74"/>
    <mergeCell ref="PFG74:PFL74"/>
    <mergeCell ref="PCH74:PCM74"/>
    <mergeCell ref="PCO74:PCT74"/>
    <mergeCell ref="PCV74:PDA74"/>
    <mergeCell ref="PDC74:PDH74"/>
    <mergeCell ref="PDJ74:PDO74"/>
    <mergeCell ref="PDQ74:PDV74"/>
    <mergeCell ref="PAR74:PAW74"/>
    <mergeCell ref="PAY74:PBD74"/>
    <mergeCell ref="PBF74:PBK74"/>
    <mergeCell ref="PBM74:PBR74"/>
    <mergeCell ref="PBT74:PBY74"/>
    <mergeCell ref="PCA74:PCF74"/>
    <mergeCell ref="OZB74:OZG74"/>
    <mergeCell ref="OZI74:OZN74"/>
    <mergeCell ref="OZP74:OZU74"/>
    <mergeCell ref="OZW74:PAB74"/>
    <mergeCell ref="PAD74:PAI74"/>
    <mergeCell ref="PAK74:PAP74"/>
    <mergeCell ref="OXL74:OXQ74"/>
    <mergeCell ref="OXS74:OXX74"/>
    <mergeCell ref="OXZ74:OYE74"/>
    <mergeCell ref="OYG74:OYL74"/>
    <mergeCell ref="OYN74:OYS74"/>
    <mergeCell ref="OYU74:OYZ74"/>
    <mergeCell ref="OVV74:OWA74"/>
    <mergeCell ref="OWC74:OWH74"/>
    <mergeCell ref="OWJ74:OWO74"/>
    <mergeCell ref="OWQ74:OWV74"/>
    <mergeCell ref="OWX74:OXC74"/>
    <mergeCell ref="OXE74:OXJ74"/>
    <mergeCell ref="OUF74:OUK74"/>
    <mergeCell ref="OUM74:OUR74"/>
    <mergeCell ref="OUT74:OUY74"/>
    <mergeCell ref="OVA74:OVF74"/>
    <mergeCell ref="OVH74:OVM74"/>
    <mergeCell ref="OVO74:OVT74"/>
    <mergeCell ref="OSP74:OSU74"/>
    <mergeCell ref="OSW74:OTB74"/>
    <mergeCell ref="OTD74:OTI74"/>
    <mergeCell ref="OTK74:OTP74"/>
    <mergeCell ref="OTR74:OTW74"/>
    <mergeCell ref="OTY74:OUD74"/>
    <mergeCell ref="OQZ74:ORE74"/>
    <mergeCell ref="ORG74:ORL74"/>
    <mergeCell ref="ORN74:ORS74"/>
    <mergeCell ref="ORU74:ORZ74"/>
    <mergeCell ref="OSB74:OSG74"/>
    <mergeCell ref="OSI74:OSN74"/>
    <mergeCell ref="OPJ74:OPO74"/>
    <mergeCell ref="OPQ74:OPV74"/>
    <mergeCell ref="OPX74:OQC74"/>
    <mergeCell ref="OQE74:OQJ74"/>
    <mergeCell ref="OQL74:OQQ74"/>
    <mergeCell ref="OQS74:OQX74"/>
    <mergeCell ref="ONT74:ONY74"/>
    <mergeCell ref="OOA74:OOF74"/>
    <mergeCell ref="OOH74:OOM74"/>
    <mergeCell ref="OOO74:OOT74"/>
    <mergeCell ref="OOV74:OPA74"/>
    <mergeCell ref="OPC74:OPH74"/>
    <mergeCell ref="OMD74:OMI74"/>
    <mergeCell ref="OMK74:OMP74"/>
    <mergeCell ref="OMR74:OMW74"/>
    <mergeCell ref="OMY74:OND74"/>
    <mergeCell ref="ONF74:ONK74"/>
    <mergeCell ref="ONM74:ONR74"/>
    <mergeCell ref="OKN74:OKS74"/>
    <mergeCell ref="OKU74:OKZ74"/>
    <mergeCell ref="OLB74:OLG74"/>
    <mergeCell ref="OLI74:OLN74"/>
    <mergeCell ref="OLP74:OLU74"/>
    <mergeCell ref="OLW74:OMB74"/>
    <mergeCell ref="OIX74:OJC74"/>
    <mergeCell ref="OJE74:OJJ74"/>
    <mergeCell ref="OJL74:OJQ74"/>
    <mergeCell ref="OJS74:OJX74"/>
    <mergeCell ref="OJZ74:OKE74"/>
    <mergeCell ref="OKG74:OKL74"/>
    <mergeCell ref="OHH74:OHM74"/>
    <mergeCell ref="OHO74:OHT74"/>
    <mergeCell ref="OHV74:OIA74"/>
    <mergeCell ref="OIC74:OIH74"/>
    <mergeCell ref="OIJ74:OIO74"/>
    <mergeCell ref="OIQ74:OIV74"/>
    <mergeCell ref="OFR74:OFW74"/>
    <mergeCell ref="OFY74:OGD74"/>
    <mergeCell ref="OGF74:OGK74"/>
    <mergeCell ref="OGM74:OGR74"/>
    <mergeCell ref="OGT74:OGY74"/>
    <mergeCell ref="OHA74:OHF74"/>
    <mergeCell ref="OEB74:OEG74"/>
    <mergeCell ref="OEI74:OEN74"/>
    <mergeCell ref="OEP74:OEU74"/>
    <mergeCell ref="OEW74:OFB74"/>
    <mergeCell ref="OFD74:OFI74"/>
    <mergeCell ref="OFK74:OFP74"/>
    <mergeCell ref="OCL74:OCQ74"/>
    <mergeCell ref="OCS74:OCX74"/>
    <mergeCell ref="OCZ74:ODE74"/>
    <mergeCell ref="ODG74:ODL74"/>
    <mergeCell ref="ODN74:ODS74"/>
    <mergeCell ref="ODU74:ODZ74"/>
    <mergeCell ref="OAV74:OBA74"/>
    <mergeCell ref="OBC74:OBH74"/>
    <mergeCell ref="OBJ74:OBO74"/>
    <mergeCell ref="OBQ74:OBV74"/>
    <mergeCell ref="OBX74:OCC74"/>
    <mergeCell ref="OCE74:OCJ74"/>
    <mergeCell ref="NZF74:NZK74"/>
    <mergeCell ref="NZM74:NZR74"/>
    <mergeCell ref="NZT74:NZY74"/>
    <mergeCell ref="OAA74:OAF74"/>
    <mergeCell ref="OAH74:OAM74"/>
    <mergeCell ref="OAO74:OAT74"/>
    <mergeCell ref="NXP74:NXU74"/>
    <mergeCell ref="NXW74:NYB74"/>
    <mergeCell ref="NYD74:NYI74"/>
    <mergeCell ref="NYK74:NYP74"/>
    <mergeCell ref="NYR74:NYW74"/>
    <mergeCell ref="NYY74:NZD74"/>
    <mergeCell ref="NVZ74:NWE74"/>
    <mergeCell ref="NWG74:NWL74"/>
    <mergeCell ref="NWN74:NWS74"/>
    <mergeCell ref="NWU74:NWZ74"/>
    <mergeCell ref="NXB74:NXG74"/>
    <mergeCell ref="NXI74:NXN74"/>
    <mergeCell ref="NUJ74:NUO74"/>
    <mergeCell ref="NUQ74:NUV74"/>
    <mergeCell ref="NUX74:NVC74"/>
    <mergeCell ref="NVE74:NVJ74"/>
    <mergeCell ref="NVL74:NVQ74"/>
    <mergeCell ref="NVS74:NVX74"/>
    <mergeCell ref="NST74:NSY74"/>
    <mergeCell ref="NTA74:NTF74"/>
    <mergeCell ref="NTH74:NTM74"/>
    <mergeCell ref="NTO74:NTT74"/>
    <mergeCell ref="NTV74:NUA74"/>
    <mergeCell ref="NUC74:NUH74"/>
    <mergeCell ref="NRD74:NRI74"/>
    <mergeCell ref="NRK74:NRP74"/>
    <mergeCell ref="NRR74:NRW74"/>
    <mergeCell ref="NRY74:NSD74"/>
    <mergeCell ref="NSF74:NSK74"/>
    <mergeCell ref="NSM74:NSR74"/>
    <mergeCell ref="NPN74:NPS74"/>
    <mergeCell ref="NPU74:NPZ74"/>
    <mergeCell ref="NQB74:NQG74"/>
    <mergeCell ref="NQI74:NQN74"/>
    <mergeCell ref="NQP74:NQU74"/>
    <mergeCell ref="NQW74:NRB74"/>
    <mergeCell ref="NNX74:NOC74"/>
    <mergeCell ref="NOE74:NOJ74"/>
    <mergeCell ref="NOL74:NOQ74"/>
    <mergeCell ref="NOS74:NOX74"/>
    <mergeCell ref="NOZ74:NPE74"/>
    <mergeCell ref="NPG74:NPL74"/>
    <mergeCell ref="NMH74:NMM74"/>
    <mergeCell ref="NMO74:NMT74"/>
    <mergeCell ref="NMV74:NNA74"/>
    <mergeCell ref="NNC74:NNH74"/>
    <mergeCell ref="NNJ74:NNO74"/>
    <mergeCell ref="NNQ74:NNV74"/>
    <mergeCell ref="NKR74:NKW74"/>
    <mergeCell ref="NKY74:NLD74"/>
    <mergeCell ref="NLF74:NLK74"/>
    <mergeCell ref="NLM74:NLR74"/>
    <mergeCell ref="NLT74:NLY74"/>
    <mergeCell ref="NMA74:NMF74"/>
    <mergeCell ref="NJB74:NJG74"/>
    <mergeCell ref="NJI74:NJN74"/>
    <mergeCell ref="NJP74:NJU74"/>
    <mergeCell ref="NJW74:NKB74"/>
    <mergeCell ref="NKD74:NKI74"/>
    <mergeCell ref="NKK74:NKP74"/>
    <mergeCell ref="NHL74:NHQ74"/>
    <mergeCell ref="NHS74:NHX74"/>
    <mergeCell ref="NHZ74:NIE74"/>
    <mergeCell ref="NIG74:NIL74"/>
    <mergeCell ref="NIN74:NIS74"/>
    <mergeCell ref="NIU74:NIZ74"/>
    <mergeCell ref="NFV74:NGA74"/>
    <mergeCell ref="NGC74:NGH74"/>
    <mergeCell ref="NGJ74:NGO74"/>
    <mergeCell ref="NGQ74:NGV74"/>
    <mergeCell ref="NGX74:NHC74"/>
    <mergeCell ref="NHE74:NHJ74"/>
    <mergeCell ref="NEF74:NEK74"/>
    <mergeCell ref="NEM74:NER74"/>
    <mergeCell ref="NET74:NEY74"/>
    <mergeCell ref="NFA74:NFF74"/>
    <mergeCell ref="NFH74:NFM74"/>
    <mergeCell ref="NFO74:NFT74"/>
    <mergeCell ref="NCP74:NCU74"/>
    <mergeCell ref="NCW74:NDB74"/>
    <mergeCell ref="NDD74:NDI74"/>
    <mergeCell ref="NDK74:NDP74"/>
    <mergeCell ref="NDR74:NDW74"/>
    <mergeCell ref="NDY74:NED74"/>
    <mergeCell ref="NAZ74:NBE74"/>
    <mergeCell ref="NBG74:NBL74"/>
    <mergeCell ref="NBN74:NBS74"/>
    <mergeCell ref="NBU74:NBZ74"/>
    <mergeCell ref="NCB74:NCG74"/>
    <mergeCell ref="NCI74:NCN74"/>
    <mergeCell ref="MZJ74:MZO74"/>
    <mergeCell ref="MZQ74:MZV74"/>
    <mergeCell ref="MZX74:NAC74"/>
    <mergeCell ref="NAE74:NAJ74"/>
    <mergeCell ref="NAL74:NAQ74"/>
    <mergeCell ref="NAS74:NAX74"/>
    <mergeCell ref="MXT74:MXY74"/>
    <mergeCell ref="MYA74:MYF74"/>
    <mergeCell ref="MYH74:MYM74"/>
    <mergeCell ref="MYO74:MYT74"/>
    <mergeCell ref="MYV74:MZA74"/>
    <mergeCell ref="MZC74:MZH74"/>
    <mergeCell ref="MWD74:MWI74"/>
    <mergeCell ref="MWK74:MWP74"/>
    <mergeCell ref="MWR74:MWW74"/>
    <mergeCell ref="MWY74:MXD74"/>
    <mergeCell ref="MXF74:MXK74"/>
    <mergeCell ref="MXM74:MXR74"/>
    <mergeCell ref="MUN74:MUS74"/>
    <mergeCell ref="MUU74:MUZ74"/>
    <mergeCell ref="MVB74:MVG74"/>
    <mergeCell ref="MVI74:MVN74"/>
    <mergeCell ref="MVP74:MVU74"/>
    <mergeCell ref="MVW74:MWB74"/>
    <mergeCell ref="MSX74:MTC74"/>
    <mergeCell ref="MTE74:MTJ74"/>
    <mergeCell ref="MTL74:MTQ74"/>
    <mergeCell ref="MTS74:MTX74"/>
    <mergeCell ref="MTZ74:MUE74"/>
    <mergeCell ref="MUG74:MUL74"/>
    <mergeCell ref="MRH74:MRM74"/>
    <mergeCell ref="MRO74:MRT74"/>
    <mergeCell ref="MRV74:MSA74"/>
    <mergeCell ref="MSC74:MSH74"/>
    <mergeCell ref="MSJ74:MSO74"/>
    <mergeCell ref="MSQ74:MSV74"/>
    <mergeCell ref="MPR74:MPW74"/>
    <mergeCell ref="MPY74:MQD74"/>
    <mergeCell ref="MQF74:MQK74"/>
    <mergeCell ref="MQM74:MQR74"/>
    <mergeCell ref="MQT74:MQY74"/>
    <mergeCell ref="MRA74:MRF74"/>
    <mergeCell ref="MOB74:MOG74"/>
    <mergeCell ref="MOI74:MON74"/>
    <mergeCell ref="MOP74:MOU74"/>
    <mergeCell ref="MOW74:MPB74"/>
    <mergeCell ref="MPD74:MPI74"/>
    <mergeCell ref="MPK74:MPP74"/>
    <mergeCell ref="MML74:MMQ74"/>
    <mergeCell ref="MMS74:MMX74"/>
    <mergeCell ref="MMZ74:MNE74"/>
    <mergeCell ref="MNG74:MNL74"/>
    <mergeCell ref="MNN74:MNS74"/>
    <mergeCell ref="MNU74:MNZ74"/>
    <mergeCell ref="MKV74:MLA74"/>
    <mergeCell ref="MLC74:MLH74"/>
    <mergeCell ref="MLJ74:MLO74"/>
    <mergeCell ref="MLQ74:MLV74"/>
    <mergeCell ref="MLX74:MMC74"/>
    <mergeCell ref="MME74:MMJ74"/>
    <mergeCell ref="MJF74:MJK74"/>
    <mergeCell ref="MJM74:MJR74"/>
    <mergeCell ref="MJT74:MJY74"/>
    <mergeCell ref="MKA74:MKF74"/>
    <mergeCell ref="MKH74:MKM74"/>
    <mergeCell ref="MKO74:MKT74"/>
    <mergeCell ref="MHP74:MHU74"/>
    <mergeCell ref="MHW74:MIB74"/>
    <mergeCell ref="MID74:MII74"/>
    <mergeCell ref="MIK74:MIP74"/>
    <mergeCell ref="MIR74:MIW74"/>
    <mergeCell ref="MIY74:MJD74"/>
    <mergeCell ref="MFZ74:MGE74"/>
    <mergeCell ref="MGG74:MGL74"/>
    <mergeCell ref="MGN74:MGS74"/>
    <mergeCell ref="MGU74:MGZ74"/>
    <mergeCell ref="MHB74:MHG74"/>
    <mergeCell ref="MHI74:MHN74"/>
    <mergeCell ref="MEJ74:MEO74"/>
    <mergeCell ref="MEQ74:MEV74"/>
    <mergeCell ref="MEX74:MFC74"/>
    <mergeCell ref="MFE74:MFJ74"/>
    <mergeCell ref="MFL74:MFQ74"/>
    <mergeCell ref="MFS74:MFX74"/>
    <mergeCell ref="MCT74:MCY74"/>
    <mergeCell ref="MDA74:MDF74"/>
    <mergeCell ref="MDH74:MDM74"/>
    <mergeCell ref="MDO74:MDT74"/>
    <mergeCell ref="MDV74:MEA74"/>
    <mergeCell ref="MEC74:MEH74"/>
    <mergeCell ref="MBD74:MBI74"/>
    <mergeCell ref="MBK74:MBP74"/>
    <mergeCell ref="MBR74:MBW74"/>
    <mergeCell ref="MBY74:MCD74"/>
    <mergeCell ref="MCF74:MCK74"/>
    <mergeCell ref="MCM74:MCR74"/>
    <mergeCell ref="LZN74:LZS74"/>
    <mergeCell ref="LZU74:LZZ74"/>
    <mergeCell ref="MAB74:MAG74"/>
    <mergeCell ref="MAI74:MAN74"/>
    <mergeCell ref="MAP74:MAU74"/>
    <mergeCell ref="MAW74:MBB74"/>
    <mergeCell ref="LXX74:LYC74"/>
    <mergeCell ref="LYE74:LYJ74"/>
    <mergeCell ref="LYL74:LYQ74"/>
    <mergeCell ref="LYS74:LYX74"/>
    <mergeCell ref="LYZ74:LZE74"/>
    <mergeCell ref="LZG74:LZL74"/>
    <mergeCell ref="LWH74:LWM74"/>
    <mergeCell ref="LWO74:LWT74"/>
    <mergeCell ref="LWV74:LXA74"/>
    <mergeCell ref="LXC74:LXH74"/>
    <mergeCell ref="LXJ74:LXO74"/>
    <mergeCell ref="LXQ74:LXV74"/>
    <mergeCell ref="LUR74:LUW74"/>
    <mergeCell ref="LUY74:LVD74"/>
    <mergeCell ref="LVF74:LVK74"/>
    <mergeCell ref="LVM74:LVR74"/>
    <mergeCell ref="LVT74:LVY74"/>
    <mergeCell ref="LWA74:LWF74"/>
    <mergeCell ref="LTB74:LTG74"/>
    <mergeCell ref="LTI74:LTN74"/>
    <mergeCell ref="LTP74:LTU74"/>
    <mergeCell ref="LTW74:LUB74"/>
    <mergeCell ref="LUD74:LUI74"/>
    <mergeCell ref="LUK74:LUP74"/>
    <mergeCell ref="LRL74:LRQ74"/>
    <mergeCell ref="LRS74:LRX74"/>
    <mergeCell ref="LRZ74:LSE74"/>
    <mergeCell ref="LSG74:LSL74"/>
    <mergeCell ref="LSN74:LSS74"/>
    <mergeCell ref="LSU74:LSZ74"/>
    <mergeCell ref="LPV74:LQA74"/>
    <mergeCell ref="LQC74:LQH74"/>
    <mergeCell ref="LQJ74:LQO74"/>
    <mergeCell ref="LQQ74:LQV74"/>
    <mergeCell ref="LQX74:LRC74"/>
    <mergeCell ref="LRE74:LRJ74"/>
    <mergeCell ref="LOF74:LOK74"/>
    <mergeCell ref="LOM74:LOR74"/>
    <mergeCell ref="LOT74:LOY74"/>
    <mergeCell ref="LPA74:LPF74"/>
    <mergeCell ref="LPH74:LPM74"/>
    <mergeCell ref="LPO74:LPT74"/>
    <mergeCell ref="LMP74:LMU74"/>
    <mergeCell ref="LMW74:LNB74"/>
    <mergeCell ref="LND74:LNI74"/>
    <mergeCell ref="LNK74:LNP74"/>
    <mergeCell ref="LNR74:LNW74"/>
    <mergeCell ref="LNY74:LOD74"/>
    <mergeCell ref="LKZ74:LLE74"/>
    <mergeCell ref="LLG74:LLL74"/>
    <mergeCell ref="LLN74:LLS74"/>
    <mergeCell ref="LLU74:LLZ74"/>
    <mergeCell ref="LMB74:LMG74"/>
    <mergeCell ref="LMI74:LMN74"/>
    <mergeCell ref="LJJ74:LJO74"/>
    <mergeCell ref="LJQ74:LJV74"/>
    <mergeCell ref="LJX74:LKC74"/>
    <mergeCell ref="LKE74:LKJ74"/>
    <mergeCell ref="LKL74:LKQ74"/>
    <mergeCell ref="LKS74:LKX74"/>
    <mergeCell ref="LHT74:LHY74"/>
    <mergeCell ref="LIA74:LIF74"/>
    <mergeCell ref="LIH74:LIM74"/>
    <mergeCell ref="LIO74:LIT74"/>
    <mergeCell ref="LIV74:LJA74"/>
    <mergeCell ref="LJC74:LJH74"/>
    <mergeCell ref="LGD74:LGI74"/>
    <mergeCell ref="LGK74:LGP74"/>
    <mergeCell ref="LGR74:LGW74"/>
    <mergeCell ref="LGY74:LHD74"/>
    <mergeCell ref="LHF74:LHK74"/>
    <mergeCell ref="LHM74:LHR74"/>
    <mergeCell ref="LEN74:LES74"/>
    <mergeCell ref="LEU74:LEZ74"/>
    <mergeCell ref="LFB74:LFG74"/>
    <mergeCell ref="LFI74:LFN74"/>
    <mergeCell ref="LFP74:LFU74"/>
    <mergeCell ref="LFW74:LGB74"/>
    <mergeCell ref="LCX74:LDC74"/>
    <mergeCell ref="LDE74:LDJ74"/>
    <mergeCell ref="LDL74:LDQ74"/>
    <mergeCell ref="LDS74:LDX74"/>
    <mergeCell ref="LDZ74:LEE74"/>
    <mergeCell ref="LEG74:LEL74"/>
    <mergeCell ref="LBH74:LBM74"/>
    <mergeCell ref="LBO74:LBT74"/>
    <mergeCell ref="LBV74:LCA74"/>
    <mergeCell ref="LCC74:LCH74"/>
    <mergeCell ref="LCJ74:LCO74"/>
    <mergeCell ref="LCQ74:LCV74"/>
    <mergeCell ref="KZR74:KZW74"/>
    <mergeCell ref="KZY74:LAD74"/>
    <mergeCell ref="LAF74:LAK74"/>
    <mergeCell ref="LAM74:LAR74"/>
    <mergeCell ref="LAT74:LAY74"/>
    <mergeCell ref="LBA74:LBF74"/>
    <mergeCell ref="KYB74:KYG74"/>
    <mergeCell ref="KYI74:KYN74"/>
    <mergeCell ref="KYP74:KYU74"/>
    <mergeCell ref="KYW74:KZB74"/>
    <mergeCell ref="KZD74:KZI74"/>
    <mergeCell ref="KZK74:KZP74"/>
    <mergeCell ref="KWL74:KWQ74"/>
    <mergeCell ref="KWS74:KWX74"/>
    <mergeCell ref="KWZ74:KXE74"/>
    <mergeCell ref="KXG74:KXL74"/>
    <mergeCell ref="KXN74:KXS74"/>
    <mergeCell ref="KXU74:KXZ74"/>
    <mergeCell ref="KUV74:KVA74"/>
    <mergeCell ref="KVC74:KVH74"/>
    <mergeCell ref="KVJ74:KVO74"/>
    <mergeCell ref="KVQ74:KVV74"/>
    <mergeCell ref="KVX74:KWC74"/>
    <mergeCell ref="KWE74:KWJ74"/>
    <mergeCell ref="KTF74:KTK74"/>
    <mergeCell ref="KTM74:KTR74"/>
    <mergeCell ref="KTT74:KTY74"/>
    <mergeCell ref="KUA74:KUF74"/>
    <mergeCell ref="KUH74:KUM74"/>
    <mergeCell ref="KUO74:KUT74"/>
    <mergeCell ref="KRP74:KRU74"/>
    <mergeCell ref="KRW74:KSB74"/>
    <mergeCell ref="KSD74:KSI74"/>
    <mergeCell ref="KSK74:KSP74"/>
    <mergeCell ref="KSR74:KSW74"/>
    <mergeCell ref="KSY74:KTD74"/>
    <mergeCell ref="KPZ74:KQE74"/>
    <mergeCell ref="KQG74:KQL74"/>
    <mergeCell ref="KQN74:KQS74"/>
    <mergeCell ref="KQU74:KQZ74"/>
    <mergeCell ref="KRB74:KRG74"/>
    <mergeCell ref="KRI74:KRN74"/>
    <mergeCell ref="KOJ74:KOO74"/>
    <mergeCell ref="KOQ74:KOV74"/>
    <mergeCell ref="KOX74:KPC74"/>
    <mergeCell ref="KPE74:KPJ74"/>
    <mergeCell ref="KPL74:KPQ74"/>
    <mergeCell ref="KPS74:KPX74"/>
    <mergeCell ref="KMT74:KMY74"/>
    <mergeCell ref="KNA74:KNF74"/>
    <mergeCell ref="KNH74:KNM74"/>
    <mergeCell ref="KNO74:KNT74"/>
    <mergeCell ref="KNV74:KOA74"/>
    <mergeCell ref="KOC74:KOH74"/>
    <mergeCell ref="KLD74:KLI74"/>
    <mergeCell ref="KLK74:KLP74"/>
    <mergeCell ref="KLR74:KLW74"/>
    <mergeCell ref="KLY74:KMD74"/>
    <mergeCell ref="KMF74:KMK74"/>
    <mergeCell ref="KMM74:KMR74"/>
    <mergeCell ref="KJN74:KJS74"/>
    <mergeCell ref="KJU74:KJZ74"/>
    <mergeCell ref="KKB74:KKG74"/>
    <mergeCell ref="KKI74:KKN74"/>
    <mergeCell ref="KKP74:KKU74"/>
    <mergeCell ref="KKW74:KLB74"/>
    <mergeCell ref="KHX74:KIC74"/>
    <mergeCell ref="KIE74:KIJ74"/>
    <mergeCell ref="KIL74:KIQ74"/>
    <mergeCell ref="KIS74:KIX74"/>
    <mergeCell ref="KIZ74:KJE74"/>
    <mergeCell ref="KJG74:KJL74"/>
    <mergeCell ref="KGH74:KGM74"/>
    <mergeCell ref="KGO74:KGT74"/>
    <mergeCell ref="KGV74:KHA74"/>
    <mergeCell ref="KHC74:KHH74"/>
    <mergeCell ref="KHJ74:KHO74"/>
    <mergeCell ref="KHQ74:KHV74"/>
    <mergeCell ref="KER74:KEW74"/>
    <mergeCell ref="KEY74:KFD74"/>
    <mergeCell ref="KFF74:KFK74"/>
    <mergeCell ref="KFM74:KFR74"/>
    <mergeCell ref="KFT74:KFY74"/>
    <mergeCell ref="KGA74:KGF74"/>
    <mergeCell ref="KDB74:KDG74"/>
    <mergeCell ref="KDI74:KDN74"/>
    <mergeCell ref="KDP74:KDU74"/>
    <mergeCell ref="KDW74:KEB74"/>
    <mergeCell ref="KED74:KEI74"/>
    <mergeCell ref="KEK74:KEP74"/>
    <mergeCell ref="KBL74:KBQ74"/>
    <mergeCell ref="KBS74:KBX74"/>
    <mergeCell ref="KBZ74:KCE74"/>
    <mergeCell ref="KCG74:KCL74"/>
    <mergeCell ref="KCN74:KCS74"/>
    <mergeCell ref="KCU74:KCZ74"/>
    <mergeCell ref="JZV74:KAA74"/>
    <mergeCell ref="KAC74:KAH74"/>
    <mergeCell ref="KAJ74:KAO74"/>
    <mergeCell ref="KAQ74:KAV74"/>
    <mergeCell ref="KAX74:KBC74"/>
    <mergeCell ref="KBE74:KBJ74"/>
    <mergeCell ref="JYF74:JYK74"/>
    <mergeCell ref="JYM74:JYR74"/>
    <mergeCell ref="JYT74:JYY74"/>
    <mergeCell ref="JZA74:JZF74"/>
    <mergeCell ref="JZH74:JZM74"/>
    <mergeCell ref="JZO74:JZT74"/>
    <mergeCell ref="JWP74:JWU74"/>
    <mergeCell ref="JWW74:JXB74"/>
    <mergeCell ref="JXD74:JXI74"/>
    <mergeCell ref="JXK74:JXP74"/>
    <mergeCell ref="JXR74:JXW74"/>
    <mergeCell ref="JXY74:JYD74"/>
    <mergeCell ref="JUZ74:JVE74"/>
    <mergeCell ref="JVG74:JVL74"/>
    <mergeCell ref="JVN74:JVS74"/>
    <mergeCell ref="JVU74:JVZ74"/>
    <mergeCell ref="JWB74:JWG74"/>
    <mergeCell ref="JWI74:JWN74"/>
    <mergeCell ref="JTJ74:JTO74"/>
    <mergeCell ref="JTQ74:JTV74"/>
    <mergeCell ref="JTX74:JUC74"/>
    <mergeCell ref="JUE74:JUJ74"/>
    <mergeCell ref="JUL74:JUQ74"/>
    <mergeCell ref="JUS74:JUX74"/>
    <mergeCell ref="JRT74:JRY74"/>
    <mergeCell ref="JSA74:JSF74"/>
    <mergeCell ref="JSH74:JSM74"/>
    <mergeCell ref="JSO74:JST74"/>
    <mergeCell ref="JSV74:JTA74"/>
    <mergeCell ref="JTC74:JTH74"/>
    <mergeCell ref="JQD74:JQI74"/>
    <mergeCell ref="JQK74:JQP74"/>
    <mergeCell ref="JQR74:JQW74"/>
    <mergeCell ref="JQY74:JRD74"/>
    <mergeCell ref="JRF74:JRK74"/>
    <mergeCell ref="JRM74:JRR74"/>
    <mergeCell ref="JON74:JOS74"/>
    <mergeCell ref="JOU74:JOZ74"/>
    <mergeCell ref="JPB74:JPG74"/>
    <mergeCell ref="JPI74:JPN74"/>
    <mergeCell ref="JPP74:JPU74"/>
    <mergeCell ref="JPW74:JQB74"/>
    <mergeCell ref="JMX74:JNC74"/>
    <mergeCell ref="JNE74:JNJ74"/>
    <mergeCell ref="JNL74:JNQ74"/>
    <mergeCell ref="JNS74:JNX74"/>
    <mergeCell ref="JNZ74:JOE74"/>
    <mergeCell ref="JOG74:JOL74"/>
    <mergeCell ref="JLH74:JLM74"/>
    <mergeCell ref="JLO74:JLT74"/>
    <mergeCell ref="JLV74:JMA74"/>
    <mergeCell ref="JMC74:JMH74"/>
    <mergeCell ref="JMJ74:JMO74"/>
    <mergeCell ref="JMQ74:JMV74"/>
    <mergeCell ref="JJR74:JJW74"/>
    <mergeCell ref="JJY74:JKD74"/>
    <mergeCell ref="JKF74:JKK74"/>
    <mergeCell ref="JKM74:JKR74"/>
    <mergeCell ref="JKT74:JKY74"/>
    <mergeCell ref="JLA74:JLF74"/>
    <mergeCell ref="JIB74:JIG74"/>
    <mergeCell ref="JII74:JIN74"/>
    <mergeCell ref="JIP74:JIU74"/>
    <mergeCell ref="JIW74:JJB74"/>
    <mergeCell ref="JJD74:JJI74"/>
    <mergeCell ref="JJK74:JJP74"/>
    <mergeCell ref="JGL74:JGQ74"/>
    <mergeCell ref="JGS74:JGX74"/>
    <mergeCell ref="JGZ74:JHE74"/>
    <mergeCell ref="JHG74:JHL74"/>
    <mergeCell ref="JHN74:JHS74"/>
    <mergeCell ref="JHU74:JHZ74"/>
    <mergeCell ref="JEV74:JFA74"/>
    <mergeCell ref="JFC74:JFH74"/>
    <mergeCell ref="JFJ74:JFO74"/>
    <mergeCell ref="JFQ74:JFV74"/>
    <mergeCell ref="JFX74:JGC74"/>
    <mergeCell ref="JGE74:JGJ74"/>
    <mergeCell ref="JDF74:JDK74"/>
    <mergeCell ref="JDM74:JDR74"/>
    <mergeCell ref="JDT74:JDY74"/>
    <mergeCell ref="JEA74:JEF74"/>
    <mergeCell ref="JEH74:JEM74"/>
    <mergeCell ref="JEO74:JET74"/>
    <mergeCell ref="JBP74:JBU74"/>
    <mergeCell ref="JBW74:JCB74"/>
    <mergeCell ref="JCD74:JCI74"/>
    <mergeCell ref="JCK74:JCP74"/>
    <mergeCell ref="JCR74:JCW74"/>
    <mergeCell ref="JCY74:JDD74"/>
    <mergeCell ref="IZZ74:JAE74"/>
    <mergeCell ref="JAG74:JAL74"/>
    <mergeCell ref="JAN74:JAS74"/>
    <mergeCell ref="JAU74:JAZ74"/>
    <mergeCell ref="JBB74:JBG74"/>
    <mergeCell ref="JBI74:JBN74"/>
    <mergeCell ref="IYJ74:IYO74"/>
    <mergeCell ref="IYQ74:IYV74"/>
    <mergeCell ref="IYX74:IZC74"/>
    <mergeCell ref="IZE74:IZJ74"/>
    <mergeCell ref="IZL74:IZQ74"/>
    <mergeCell ref="IZS74:IZX74"/>
    <mergeCell ref="IWT74:IWY74"/>
    <mergeCell ref="IXA74:IXF74"/>
    <mergeCell ref="IXH74:IXM74"/>
    <mergeCell ref="IXO74:IXT74"/>
    <mergeCell ref="IXV74:IYA74"/>
    <mergeCell ref="IYC74:IYH74"/>
    <mergeCell ref="IVD74:IVI74"/>
    <mergeCell ref="IVK74:IVP74"/>
    <mergeCell ref="IVR74:IVW74"/>
    <mergeCell ref="IVY74:IWD74"/>
    <mergeCell ref="IWF74:IWK74"/>
    <mergeCell ref="IWM74:IWR74"/>
    <mergeCell ref="ITN74:ITS74"/>
    <mergeCell ref="ITU74:ITZ74"/>
    <mergeCell ref="IUB74:IUG74"/>
    <mergeCell ref="IUI74:IUN74"/>
    <mergeCell ref="IUP74:IUU74"/>
    <mergeCell ref="IUW74:IVB74"/>
    <mergeCell ref="IRX74:ISC74"/>
    <mergeCell ref="ISE74:ISJ74"/>
    <mergeCell ref="ISL74:ISQ74"/>
    <mergeCell ref="ISS74:ISX74"/>
    <mergeCell ref="ISZ74:ITE74"/>
    <mergeCell ref="ITG74:ITL74"/>
    <mergeCell ref="IQH74:IQM74"/>
    <mergeCell ref="IQO74:IQT74"/>
    <mergeCell ref="IQV74:IRA74"/>
    <mergeCell ref="IRC74:IRH74"/>
    <mergeCell ref="IRJ74:IRO74"/>
    <mergeCell ref="IRQ74:IRV74"/>
    <mergeCell ref="IOR74:IOW74"/>
    <mergeCell ref="IOY74:IPD74"/>
    <mergeCell ref="IPF74:IPK74"/>
    <mergeCell ref="IPM74:IPR74"/>
    <mergeCell ref="IPT74:IPY74"/>
    <mergeCell ref="IQA74:IQF74"/>
    <mergeCell ref="INB74:ING74"/>
    <mergeCell ref="INI74:INN74"/>
    <mergeCell ref="INP74:INU74"/>
    <mergeCell ref="INW74:IOB74"/>
    <mergeCell ref="IOD74:IOI74"/>
    <mergeCell ref="IOK74:IOP74"/>
    <mergeCell ref="ILL74:ILQ74"/>
    <mergeCell ref="ILS74:ILX74"/>
    <mergeCell ref="ILZ74:IME74"/>
    <mergeCell ref="IMG74:IML74"/>
    <mergeCell ref="IMN74:IMS74"/>
    <mergeCell ref="IMU74:IMZ74"/>
    <mergeCell ref="IJV74:IKA74"/>
    <mergeCell ref="IKC74:IKH74"/>
    <mergeCell ref="IKJ74:IKO74"/>
    <mergeCell ref="IKQ74:IKV74"/>
    <mergeCell ref="IKX74:ILC74"/>
    <mergeCell ref="ILE74:ILJ74"/>
    <mergeCell ref="IIF74:IIK74"/>
    <mergeCell ref="IIM74:IIR74"/>
    <mergeCell ref="IIT74:IIY74"/>
    <mergeCell ref="IJA74:IJF74"/>
    <mergeCell ref="IJH74:IJM74"/>
    <mergeCell ref="IJO74:IJT74"/>
    <mergeCell ref="IGP74:IGU74"/>
    <mergeCell ref="IGW74:IHB74"/>
    <mergeCell ref="IHD74:IHI74"/>
    <mergeCell ref="IHK74:IHP74"/>
    <mergeCell ref="IHR74:IHW74"/>
    <mergeCell ref="IHY74:IID74"/>
    <mergeCell ref="IEZ74:IFE74"/>
    <mergeCell ref="IFG74:IFL74"/>
    <mergeCell ref="IFN74:IFS74"/>
    <mergeCell ref="IFU74:IFZ74"/>
    <mergeCell ref="IGB74:IGG74"/>
    <mergeCell ref="IGI74:IGN74"/>
    <mergeCell ref="IDJ74:IDO74"/>
    <mergeCell ref="IDQ74:IDV74"/>
    <mergeCell ref="IDX74:IEC74"/>
    <mergeCell ref="IEE74:IEJ74"/>
    <mergeCell ref="IEL74:IEQ74"/>
    <mergeCell ref="IES74:IEX74"/>
    <mergeCell ref="IBT74:IBY74"/>
    <mergeCell ref="ICA74:ICF74"/>
    <mergeCell ref="ICH74:ICM74"/>
    <mergeCell ref="ICO74:ICT74"/>
    <mergeCell ref="ICV74:IDA74"/>
    <mergeCell ref="IDC74:IDH74"/>
    <mergeCell ref="IAD74:IAI74"/>
    <mergeCell ref="IAK74:IAP74"/>
    <mergeCell ref="IAR74:IAW74"/>
    <mergeCell ref="IAY74:IBD74"/>
    <mergeCell ref="IBF74:IBK74"/>
    <mergeCell ref="IBM74:IBR74"/>
    <mergeCell ref="HYN74:HYS74"/>
    <mergeCell ref="HYU74:HYZ74"/>
    <mergeCell ref="HZB74:HZG74"/>
    <mergeCell ref="HZI74:HZN74"/>
    <mergeCell ref="HZP74:HZU74"/>
    <mergeCell ref="HZW74:IAB74"/>
    <mergeCell ref="HWX74:HXC74"/>
    <mergeCell ref="HXE74:HXJ74"/>
    <mergeCell ref="HXL74:HXQ74"/>
    <mergeCell ref="HXS74:HXX74"/>
    <mergeCell ref="HXZ74:HYE74"/>
    <mergeCell ref="HYG74:HYL74"/>
    <mergeCell ref="HVH74:HVM74"/>
    <mergeCell ref="HVO74:HVT74"/>
    <mergeCell ref="HVV74:HWA74"/>
    <mergeCell ref="HWC74:HWH74"/>
    <mergeCell ref="HWJ74:HWO74"/>
    <mergeCell ref="HWQ74:HWV74"/>
    <mergeCell ref="HTR74:HTW74"/>
    <mergeCell ref="HTY74:HUD74"/>
    <mergeCell ref="HUF74:HUK74"/>
    <mergeCell ref="HUM74:HUR74"/>
    <mergeCell ref="HUT74:HUY74"/>
    <mergeCell ref="HVA74:HVF74"/>
    <mergeCell ref="HSB74:HSG74"/>
    <mergeCell ref="HSI74:HSN74"/>
    <mergeCell ref="HSP74:HSU74"/>
    <mergeCell ref="HSW74:HTB74"/>
    <mergeCell ref="HTD74:HTI74"/>
    <mergeCell ref="HTK74:HTP74"/>
    <mergeCell ref="HQL74:HQQ74"/>
    <mergeCell ref="HQS74:HQX74"/>
    <mergeCell ref="HQZ74:HRE74"/>
    <mergeCell ref="HRG74:HRL74"/>
    <mergeCell ref="HRN74:HRS74"/>
    <mergeCell ref="HRU74:HRZ74"/>
    <mergeCell ref="HOV74:HPA74"/>
    <mergeCell ref="HPC74:HPH74"/>
    <mergeCell ref="HPJ74:HPO74"/>
    <mergeCell ref="HPQ74:HPV74"/>
    <mergeCell ref="HPX74:HQC74"/>
    <mergeCell ref="HQE74:HQJ74"/>
    <mergeCell ref="HNF74:HNK74"/>
    <mergeCell ref="HNM74:HNR74"/>
    <mergeCell ref="HNT74:HNY74"/>
    <mergeCell ref="HOA74:HOF74"/>
    <mergeCell ref="HOH74:HOM74"/>
    <mergeCell ref="HOO74:HOT74"/>
    <mergeCell ref="HLP74:HLU74"/>
    <mergeCell ref="HLW74:HMB74"/>
    <mergeCell ref="HMD74:HMI74"/>
    <mergeCell ref="HMK74:HMP74"/>
    <mergeCell ref="HMR74:HMW74"/>
    <mergeCell ref="HMY74:HND74"/>
    <mergeCell ref="HJZ74:HKE74"/>
    <mergeCell ref="HKG74:HKL74"/>
    <mergeCell ref="HKN74:HKS74"/>
    <mergeCell ref="HKU74:HKZ74"/>
    <mergeCell ref="HLB74:HLG74"/>
    <mergeCell ref="HLI74:HLN74"/>
    <mergeCell ref="HIJ74:HIO74"/>
    <mergeCell ref="HIQ74:HIV74"/>
    <mergeCell ref="HIX74:HJC74"/>
    <mergeCell ref="HJE74:HJJ74"/>
    <mergeCell ref="HJL74:HJQ74"/>
    <mergeCell ref="HJS74:HJX74"/>
    <mergeCell ref="HGT74:HGY74"/>
    <mergeCell ref="HHA74:HHF74"/>
    <mergeCell ref="HHH74:HHM74"/>
    <mergeCell ref="HHO74:HHT74"/>
    <mergeCell ref="HHV74:HIA74"/>
    <mergeCell ref="HIC74:HIH74"/>
    <mergeCell ref="HFD74:HFI74"/>
    <mergeCell ref="HFK74:HFP74"/>
    <mergeCell ref="HFR74:HFW74"/>
    <mergeCell ref="HFY74:HGD74"/>
    <mergeCell ref="HGF74:HGK74"/>
    <mergeCell ref="HGM74:HGR74"/>
    <mergeCell ref="HDN74:HDS74"/>
    <mergeCell ref="HDU74:HDZ74"/>
    <mergeCell ref="HEB74:HEG74"/>
    <mergeCell ref="HEI74:HEN74"/>
    <mergeCell ref="HEP74:HEU74"/>
    <mergeCell ref="HEW74:HFB74"/>
    <mergeCell ref="HBX74:HCC74"/>
    <mergeCell ref="HCE74:HCJ74"/>
    <mergeCell ref="HCL74:HCQ74"/>
    <mergeCell ref="HCS74:HCX74"/>
    <mergeCell ref="HCZ74:HDE74"/>
    <mergeCell ref="HDG74:HDL74"/>
    <mergeCell ref="HAH74:HAM74"/>
    <mergeCell ref="HAO74:HAT74"/>
    <mergeCell ref="HAV74:HBA74"/>
    <mergeCell ref="HBC74:HBH74"/>
    <mergeCell ref="HBJ74:HBO74"/>
    <mergeCell ref="HBQ74:HBV74"/>
    <mergeCell ref="GYR74:GYW74"/>
    <mergeCell ref="GYY74:GZD74"/>
    <mergeCell ref="GZF74:GZK74"/>
    <mergeCell ref="GZM74:GZR74"/>
    <mergeCell ref="GZT74:GZY74"/>
    <mergeCell ref="HAA74:HAF74"/>
    <mergeCell ref="GXB74:GXG74"/>
    <mergeCell ref="GXI74:GXN74"/>
    <mergeCell ref="GXP74:GXU74"/>
    <mergeCell ref="GXW74:GYB74"/>
    <mergeCell ref="GYD74:GYI74"/>
    <mergeCell ref="GYK74:GYP74"/>
    <mergeCell ref="GVL74:GVQ74"/>
    <mergeCell ref="GVS74:GVX74"/>
    <mergeCell ref="GVZ74:GWE74"/>
    <mergeCell ref="GWG74:GWL74"/>
    <mergeCell ref="GWN74:GWS74"/>
    <mergeCell ref="GWU74:GWZ74"/>
    <mergeCell ref="GTV74:GUA74"/>
    <mergeCell ref="GUC74:GUH74"/>
    <mergeCell ref="GUJ74:GUO74"/>
    <mergeCell ref="GUQ74:GUV74"/>
    <mergeCell ref="GUX74:GVC74"/>
    <mergeCell ref="GVE74:GVJ74"/>
    <mergeCell ref="GSF74:GSK74"/>
    <mergeCell ref="GSM74:GSR74"/>
    <mergeCell ref="GST74:GSY74"/>
    <mergeCell ref="GTA74:GTF74"/>
    <mergeCell ref="GTH74:GTM74"/>
    <mergeCell ref="GTO74:GTT74"/>
    <mergeCell ref="GQP74:GQU74"/>
    <mergeCell ref="GQW74:GRB74"/>
    <mergeCell ref="GRD74:GRI74"/>
    <mergeCell ref="GRK74:GRP74"/>
    <mergeCell ref="GRR74:GRW74"/>
    <mergeCell ref="GRY74:GSD74"/>
    <mergeCell ref="GOZ74:GPE74"/>
    <mergeCell ref="GPG74:GPL74"/>
    <mergeCell ref="GPN74:GPS74"/>
    <mergeCell ref="GPU74:GPZ74"/>
    <mergeCell ref="GQB74:GQG74"/>
    <mergeCell ref="GQI74:GQN74"/>
    <mergeCell ref="GNJ74:GNO74"/>
    <mergeCell ref="GNQ74:GNV74"/>
    <mergeCell ref="GNX74:GOC74"/>
    <mergeCell ref="GOE74:GOJ74"/>
    <mergeCell ref="GOL74:GOQ74"/>
    <mergeCell ref="GOS74:GOX74"/>
    <mergeCell ref="GLT74:GLY74"/>
    <mergeCell ref="GMA74:GMF74"/>
    <mergeCell ref="GMH74:GMM74"/>
    <mergeCell ref="GMO74:GMT74"/>
    <mergeCell ref="GMV74:GNA74"/>
    <mergeCell ref="GNC74:GNH74"/>
    <mergeCell ref="GKD74:GKI74"/>
    <mergeCell ref="GKK74:GKP74"/>
    <mergeCell ref="GKR74:GKW74"/>
    <mergeCell ref="GKY74:GLD74"/>
    <mergeCell ref="GLF74:GLK74"/>
    <mergeCell ref="GLM74:GLR74"/>
    <mergeCell ref="GIN74:GIS74"/>
    <mergeCell ref="GIU74:GIZ74"/>
    <mergeCell ref="GJB74:GJG74"/>
    <mergeCell ref="GJI74:GJN74"/>
    <mergeCell ref="GJP74:GJU74"/>
    <mergeCell ref="GJW74:GKB74"/>
    <mergeCell ref="GGX74:GHC74"/>
    <mergeCell ref="GHE74:GHJ74"/>
    <mergeCell ref="GHL74:GHQ74"/>
    <mergeCell ref="GHS74:GHX74"/>
    <mergeCell ref="GHZ74:GIE74"/>
    <mergeCell ref="GIG74:GIL74"/>
    <mergeCell ref="GFH74:GFM74"/>
    <mergeCell ref="GFO74:GFT74"/>
    <mergeCell ref="GFV74:GGA74"/>
    <mergeCell ref="GGC74:GGH74"/>
    <mergeCell ref="GGJ74:GGO74"/>
    <mergeCell ref="GGQ74:GGV74"/>
    <mergeCell ref="GDR74:GDW74"/>
    <mergeCell ref="GDY74:GED74"/>
    <mergeCell ref="GEF74:GEK74"/>
    <mergeCell ref="GEM74:GER74"/>
    <mergeCell ref="GET74:GEY74"/>
    <mergeCell ref="GFA74:GFF74"/>
    <mergeCell ref="GCB74:GCG74"/>
    <mergeCell ref="GCI74:GCN74"/>
    <mergeCell ref="GCP74:GCU74"/>
    <mergeCell ref="GCW74:GDB74"/>
    <mergeCell ref="GDD74:GDI74"/>
    <mergeCell ref="GDK74:GDP74"/>
    <mergeCell ref="GAL74:GAQ74"/>
    <mergeCell ref="GAS74:GAX74"/>
    <mergeCell ref="GAZ74:GBE74"/>
    <mergeCell ref="GBG74:GBL74"/>
    <mergeCell ref="GBN74:GBS74"/>
    <mergeCell ref="GBU74:GBZ74"/>
    <mergeCell ref="FYV74:FZA74"/>
    <mergeCell ref="FZC74:FZH74"/>
    <mergeCell ref="FZJ74:FZO74"/>
    <mergeCell ref="FZQ74:FZV74"/>
    <mergeCell ref="FZX74:GAC74"/>
    <mergeCell ref="GAE74:GAJ74"/>
    <mergeCell ref="FXF74:FXK74"/>
    <mergeCell ref="FXM74:FXR74"/>
    <mergeCell ref="FXT74:FXY74"/>
    <mergeCell ref="FYA74:FYF74"/>
    <mergeCell ref="FYH74:FYM74"/>
    <mergeCell ref="FYO74:FYT74"/>
    <mergeCell ref="FVP74:FVU74"/>
    <mergeCell ref="FVW74:FWB74"/>
    <mergeCell ref="FWD74:FWI74"/>
    <mergeCell ref="FWK74:FWP74"/>
    <mergeCell ref="FWR74:FWW74"/>
    <mergeCell ref="FWY74:FXD74"/>
    <mergeCell ref="FTZ74:FUE74"/>
    <mergeCell ref="FUG74:FUL74"/>
    <mergeCell ref="FUN74:FUS74"/>
    <mergeCell ref="FUU74:FUZ74"/>
    <mergeCell ref="FVB74:FVG74"/>
    <mergeCell ref="FVI74:FVN74"/>
    <mergeCell ref="FSJ74:FSO74"/>
    <mergeCell ref="FSQ74:FSV74"/>
    <mergeCell ref="FSX74:FTC74"/>
    <mergeCell ref="FTE74:FTJ74"/>
    <mergeCell ref="FTL74:FTQ74"/>
    <mergeCell ref="FTS74:FTX74"/>
    <mergeCell ref="FQT74:FQY74"/>
    <mergeCell ref="FRA74:FRF74"/>
    <mergeCell ref="FRH74:FRM74"/>
    <mergeCell ref="FRO74:FRT74"/>
    <mergeCell ref="FRV74:FSA74"/>
    <mergeCell ref="FSC74:FSH74"/>
    <mergeCell ref="FPD74:FPI74"/>
    <mergeCell ref="FPK74:FPP74"/>
    <mergeCell ref="FPR74:FPW74"/>
    <mergeCell ref="FPY74:FQD74"/>
    <mergeCell ref="FQF74:FQK74"/>
    <mergeCell ref="FQM74:FQR74"/>
    <mergeCell ref="FNN74:FNS74"/>
    <mergeCell ref="FNU74:FNZ74"/>
    <mergeCell ref="FOB74:FOG74"/>
    <mergeCell ref="FOI74:FON74"/>
    <mergeCell ref="FOP74:FOU74"/>
    <mergeCell ref="FOW74:FPB74"/>
    <mergeCell ref="FLX74:FMC74"/>
    <mergeCell ref="FME74:FMJ74"/>
    <mergeCell ref="FML74:FMQ74"/>
    <mergeCell ref="FMS74:FMX74"/>
    <mergeCell ref="FMZ74:FNE74"/>
    <mergeCell ref="FNG74:FNL74"/>
    <mergeCell ref="FKH74:FKM74"/>
    <mergeCell ref="FKO74:FKT74"/>
    <mergeCell ref="FKV74:FLA74"/>
    <mergeCell ref="FLC74:FLH74"/>
    <mergeCell ref="FLJ74:FLO74"/>
    <mergeCell ref="FLQ74:FLV74"/>
    <mergeCell ref="FIR74:FIW74"/>
    <mergeCell ref="FIY74:FJD74"/>
    <mergeCell ref="FJF74:FJK74"/>
    <mergeCell ref="FJM74:FJR74"/>
    <mergeCell ref="FJT74:FJY74"/>
    <mergeCell ref="FKA74:FKF74"/>
    <mergeCell ref="FHB74:FHG74"/>
    <mergeCell ref="FHI74:FHN74"/>
    <mergeCell ref="FHP74:FHU74"/>
    <mergeCell ref="FHW74:FIB74"/>
    <mergeCell ref="FID74:FII74"/>
    <mergeCell ref="FIK74:FIP74"/>
    <mergeCell ref="FFL74:FFQ74"/>
    <mergeCell ref="FFS74:FFX74"/>
    <mergeCell ref="FFZ74:FGE74"/>
    <mergeCell ref="FGG74:FGL74"/>
    <mergeCell ref="FGN74:FGS74"/>
    <mergeCell ref="FGU74:FGZ74"/>
    <mergeCell ref="FDV74:FEA74"/>
    <mergeCell ref="FEC74:FEH74"/>
    <mergeCell ref="FEJ74:FEO74"/>
    <mergeCell ref="FEQ74:FEV74"/>
    <mergeCell ref="FEX74:FFC74"/>
    <mergeCell ref="FFE74:FFJ74"/>
    <mergeCell ref="FCF74:FCK74"/>
    <mergeCell ref="FCM74:FCR74"/>
    <mergeCell ref="FCT74:FCY74"/>
    <mergeCell ref="FDA74:FDF74"/>
    <mergeCell ref="FDH74:FDM74"/>
    <mergeCell ref="FDO74:FDT74"/>
    <mergeCell ref="FAP74:FAU74"/>
    <mergeCell ref="FAW74:FBB74"/>
    <mergeCell ref="FBD74:FBI74"/>
    <mergeCell ref="FBK74:FBP74"/>
    <mergeCell ref="FBR74:FBW74"/>
    <mergeCell ref="FBY74:FCD74"/>
    <mergeCell ref="EYZ74:EZE74"/>
    <mergeCell ref="EZG74:EZL74"/>
    <mergeCell ref="EZN74:EZS74"/>
    <mergeCell ref="EZU74:EZZ74"/>
    <mergeCell ref="FAB74:FAG74"/>
    <mergeCell ref="FAI74:FAN74"/>
    <mergeCell ref="EXJ74:EXO74"/>
    <mergeCell ref="EXQ74:EXV74"/>
    <mergeCell ref="EXX74:EYC74"/>
    <mergeCell ref="EYE74:EYJ74"/>
    <mergeCell ref="EYL74:EYQ74"/>
    <mergeCell ref="EYS74:EYX74"/>
    <mergeCell ref="EVT74:EVY74"/>
    <mergeCell ref="EWA74:EWF74"/>
    <mergeCell ref="EWH74:EWM74"/>
    <mergeCell ref="EWO74:EWT74"/>
    <mergeCell ref="EWV74:EXA74"/>
    <mergeCell ref="EXC74:EXH74"/>
    <mergeCell ref="EUD74:EUI74"/>
    <mergeCell ref="EUK74:EUP74"/>
    <mergeCell ref="EUR74:EUW74"/>
    <mergeCell ref="EUY74:EVD74"/>
    <mergeCell ref="EVF74:EVK74"/>
    <mergeCell ref="EVM74:EVR74"/>
    <mergeCell ref="ESN74:ESS74"/>
    <mergeCell ref="ESU74:ESZ74"/>
    <mergeCell ref="ETB74:ETG74"/>
    <mergeCell ref="ETI74:ETN74"/>
    <mergeCell ref="ETP74:ETU74"/>
    <mergeCell ref="ETW74:EUB74"/>
    <mergeCell ref="EQX74:ERC74"/>
    <mergeCell ref="ERE74:ERJ74"/>
    <mergeCell ref="ERL74:ERQ74"/>
    <mergeCell ref="ERS74:ERX74"/>
    <mergeCell ref="ERZ74:ESE74"/>
    <mergeCell ref="ESG74:ESL74"/>
    <mergeCell ref="EPH74:EPM74"/>
    <mergeCell ref="EPO74:EPT74"/>
    <mergeCell ref="EPV74:EQA74"/>
    <mergeCell ref="EQC74:EQH74"/>
    <mergeCell ref="EQJ74:EQO74"/>
    <mergeCell ref="EQQ74:EQV74"/>
    <mergeCell ref="ENR74:ENW74"/>
    <mergeCell ref="ENY74:EOD74"/>
    <mergeCell ref="EOF74:EOK74"/>
    <mergeCell ref="EOM74:EOR74"/>
    <mergeCell ref="EOT74:EOY74"/>
    <mergeCell ref="EPA74:EPF74"/>
    <mergeCell ref="EMB74:EMG74"/>
    <mergeCell ref="EMI74:EMN74"/>
    <mergeCell ref="EMP74:EMU74"/>
    <mergeCell ref="EMW74:ENB74"/>
    <mergeCell ref="END74:ENI74"/>
    <mergeCell ref="ENK74:ENP74"/>
    <mergeCell ref="EKL74:EKQ74"/>
    <mergeCell ref="EKS74:EKX74"/>
    <mergeCell ref="EKZ74:ELE74"/>
    <mergeCell ref="ELG74:ELL74"/>
    <mergeCell ref="ELN74:ELS74"/>
    <mergeCell ref="ELU74:ELZ74"/>
    <mergeCell ref="EIV74:EJA74"/>
    <mergeCell ref="EJC74:EJH74"/>
    <mergeCell ref="EJJ74:EJO74"/>
    <mergeCell ref="EJQ74:EJV74"/>
    <mergeCell ref="EJX74:EKC74"/>
    <mergeCell ref="EKE74:EKJ74"/>
    <mergeCell ref="EHF74:EHK74"/>
    <mergeCell ref="EHM74:EHR74"/>
    <mergeCell ref="EHT74:EHY74"/>
    <mergeCell ref="EIA74:EIF74"/>
    <mergeCell ref="EIH74:EIM74"/>
    <mergeCell ref="EIO74:EIT74"/>
    <mergeCell ref="EFP74:EFU74"/>
    <mergeCell ref="EFW74:EGB74"/>
    <mergeCell ref="EGD74:EGI74"/>
    <mergeCell ref="EGK74:EGP74"/>
    <mergeCell ref="EGR74:EGW74"/>
    <mergeCell ref="EGY74:EHD74"/>
    <mergeCell ref="EDZ74:EEE74"/>
    <mergeCell ref="EEG74:EEL74"/>
    <mergeCell ref="EEN74:EES74"/>
    <mergeCell ref="EEU74:EEZ74"/>
    <mergeCell ref="EFB74:EFG74"/>
    <mergeCell ref="EFI74:EFN74"/>
    <mergeCell ref="ECJ74:ECO74"/>
    <mergeCell ref="ECQ74:ECV74"/>
    <mergeCell ref="ECX74:EDC74"/>
    <mergeCell ref="EDE74:EDJ74"/>
    <mergeCell ref="EDL74:EDQ74"/>
    <mergeCell ref="EDS74:EDX74"/>
    <mergeCell ref="EAT74:EAY74"/>
    <mergeCell ref="EBA74:EBF74"/>
    <mergeCell ref="EBH74:EBM74"/>
    <mergeCell ref="EBO74:EBT74"/>
    <mergeCell ref="EBV74:ECA74"/>
    <mergeCell ref="ECC74:ECH74"/>
    <mergeCell ref="DZD74:DZI74"/>
    <mergeCell ref="DZK74:DZP74"/>
    <mergeCell ref="DZR74:DZW74"/>
    <mergeCell ref="DZY74:EAD74"/>
    <mergeCell ref="EAF74:EAK74"/>
    <mergeCell ref="EAM74:EAR74"/>
    <mergeCell ref="DXN74:DXS74"/>
    <mergeCell ref="DXU74:DXZ74"/>
    <mergeCell ref="DYB74:DYG74"/>
    <mergeCell ref="DYI74:DYN74"/>
    <mergeCell ref="DYP74:DYU74"/>
    <mergeCell ref="DYW74:DZB74"/>
    <mergeCell ref="DVX74:DWC74"/>
    <mergeCell ref="DWE74:DWJ74"/>
    <mergeCell ref="DWL74:DWQ74"/>
    <mergeCell ref="DWS74:DWX74"/>
    <mergeCell ref="DWZ74:DXE74"/>
    <mergeCell ref="DXG74:DXL74"/>
    <mergeCell ref="DUH74:DUM74"/>
    <mergeCell ref="DUO74:DUT74"/>
    <mergeCell ref="DUV74:DVA74"/>
    <mergeCell ref="DVC74:DVH74"/>
    <mergeCell ref="DVJ74:DVO74"/>
    <mergeCell ref="DVQ74:DVV74"/>
    <mergeCell ref="DSR74:DSW74"/>
    <mergeCell ref="DSY74:DTD74"/>
    <mergeCell ref="DTF74:DTK74"/>
    <mergeCell ref="DTM74:DTR74"/>
    <mergeCell ref="DTT74:DTY74"/>
    <mergeCell ref="DUA74:DUF74"/>
    <mergeCell ref="DRB74:DRG74"/>
    <mergeCell ref="DRI74:DRN74"/>
    <mergeCell ref="DRP74:DRU74"/>
    <mergeCell ref="DRW74:DSB74"/>
    <mergeCell ref="DSD74:DSI74"/>
    <mergeCell ref="DSK74:DSP74"/>
    <mergeCell ref="DPL74:DPQ74"/>
    <mergeCell ref="DPS74:DPX74"/>
    <mergeCell ref="DPZ74:DQE74"/>
    <mergeCell ref="DQG74:DQL74"/>
    <mergeCell ref="DQN74:DQS74"/>
    <mergeCell ref="DQU74:DQZ74"/>
    <mergeCell ref="DNV74:DOA74"/>
    <mergeCell ref="DOC74:DOH74"/>
    <mergeCell ref="DOJ74:DOO74"/>
    <mergeCell ref="DOQ74:DOV74"/>
    <mergeCell ref="DOX74:DPC74"/>
    <mergeCell ref="DPE74:DPJ74"/>
    <mergeCell ref="DMF74:DMK74"/>
    <mergeCell ref="DMM74:DMR74"/>
    <mergeCell ref="DMT74:DMY74"/>
    <mergeCell ref="DNA74:DNF74"/>
    <mergeCell ref="DNH74:DNM74"/>
    <mergeCell ref="DNO74:DNT74"/>
    <mergeCell ref="DKP74:DKU74"/>
    <mergeCell ref="DKW74:DLB74"/>
    <mergeCell ref="DLD74:DLI74"/>
    <mergeCell ref="DLK74:DLP74"/>
    <mergeCell ref="DLR74:DLW74"/>
    <mergeCell ref="DLY74:DMD74"/>
    <mergeCell ref="DIZ74:DJE74"/>
    <mergeCell ref="DJG74:DJL74"/>
    <mergeCell ref="DJN74:DJS74"/>
    <mergeCell ref="DJU74:DJZ74"/>
    <mergeCell ref="DKB74:DKG74"/>
    <mergeCell ref="DKI74:DKN74"/>
    <mergeCell ref="DHJ74:DHO74"/>
    <mergeCell ref="DHQ74:DHV74"/>
    <mergeCell ref="DHX74:DIC74"/>
    <mergeCell ref="DIE74:DIJ74"/>
    <mergeCell ref="DIL74:DIQ74"/>
    <mergeCell ref="DIS74:DIX74"/>
    <mergeCell ref="DFT74:DFY74"/>
    <mergeCell ref="DGA74:DGF74"/>
    <mergeCell ref="DGH74:DGM74"/>
    <mergeCell ref="DGO74:DGT74"/>
    <mergeCell ref="DGV74:DHA74"/>
    <mergeCell ref="DHC74:DHH74"/>
    <mergeCell ref="DED74:DEI74"/>
    <mergeCell ref="DEK74:DEP74"/>
    <mergeCell ref="DER74:DEW74"/>
    <mergeCell ref="DEY74:DFD74"/>
    <mergeCell ref="DFF74:DFK74"/>
    <mergeCell ref="DFM74:DFR74"/>
    <mergeCell ref="DCN74:DCS74"/>
    <mergeCell ref="DCU74:DCZ74"/>
    <mergeCell ref="DDB74:DDG74"/>
    <mergeCell ref="DDI74:DDN74"/>
    <mergeCell ref="DDP74:DDU74"/>
    <mergeCell ref="DDW74:DEB74"/>
    <mergeCell ref="DAX74:DBC74"/>
    <mergeCell ref="DBE74:DBJ74"/>
    <mergeCell ref="DBL74:DBQ74"/>
    <mergeCell ref="DBS74:DBX74"/>
    <mergeCell ref="DBZ74:DCE74"/>
    <mergeCell ref="DCG74:DCL74"/>
    <mergeCell ref="CZH74:CZM74"/>
    <mergeCell ref="CZO74:CZT74"/>
    <mergeCell ref="CZV74:DAA74"/>
    <mergeCell ref="DAC74:DAH74"/>
    <mergeCell ref="DAJ74:DAO74"/>
    <mergeCell ref="DAQ74:DAV74"/>
    <mergeCell ref="CXR74:CXW74"/>
    <mergeCell ref="CXY74:CYD74"/>
    <mergeCell ref="CYF74:CYK74"/>
    <mergeCell ref="CYM74:CYR74"/>
    <mergeCell ref="CYT74:CYY74"/>
    <mergeCell ref="CZA74:CZF74"/>
    <mergeCell ref="CWB74:CWG74"/>
    <mergeCell ref="CWI74:CWN74"/>
    <mergeCell ref="CWP74:CWU74"/>
    <mergeCell ref="CWW74:CXB74"/>
    <mergeCell ref="CXD74:CXI74"/>
    <mergeCell ref="CXK74:CXP74"/>
    <mergeCell ref="CUL74:CUQ74"/>
    <mergeCell ref="CUS74:CUX74"/>
    <mergeCell ref="CUZ74:CVE74"/>
    <mergeCell ref="CVG74:CVL74"/>
    <mergeCell ref="CVN74:CVS74"/>
    <mergeCell ref="CVU74:CVZ74"/>
    <mergeCell ref="CSV74:CTA74"/>
    <mergeCell ref="CTC74:CTH74"/>
    <mergeCell ref="CTJ74:CTO74"/>
    <mergeCell ref="CTQ74:CTV74"/>
    <mergeCell ref="CTX74:CUC74"/>
    <mergeCell ref="CUE74:CUJ74"/>
    <mergeCell ref="CRF74:CRK74"/>
    <mergeCell ref="CRM74:CRR74"/>
    <mergeCell ref="CRT74:CRY74"/>
    <mergeCell ref="CSA74:CSF74"/>
    <mergeCell ref="CSH74:CSM74"/>
    <mergeCell ref="CSO74:CST74"/>
    <mergeCell ref="CPP74:CPU74"/>
    <mergeCell ref="CPW74:CQB74"/>
    <mergeCell ref="CQD74:CQI74"/>
    <mergeCell ref="CQK74:CQP74"/>
    <mergeCell ref="CQR74:CQW74"/>
    <mergeCell ref="CQY74:CRD74"/>
    <mergeCell ref="CNZ74:COE74"/>
    <mergeCell ref="COG74:COL74"/>
    <mergeCell ref="CON74:COS74"/>
    <mergeCell ref="COU74:COZ74"/>
    <mergeCell ref="CPB74:CPG74"/>
    <mergeCell ref="CPI74:CPN74"/>
    <mergeCell ref="CMJ74:CMO74"/>
    <mergeCell ref="CMQ74:CMV74"/>
    <mergeCell ref="CMX74:CNC74"/>
    <mergeCell ref="CNE74:CNJ74"/>
    <mergeCell ref="CNL74:CNQ74"/>
    <mergeCell ref="CNS74:CNX74"/>
    <mergeCell ref="CKT74:CKY74"/>
    <mergeCell ref="CLA74:CLF74"/>
    <mergeCell ref="CLH74:CLM74"/>
    <mergeCell ref="CLO74:CLT74"/>
    <mergeCell ref="CLV74:CMA74"/>
    <mergeCell ref="CMC74:CMH74"/>
    <mergeCell ref="CJD74:CJI74"/>
    <mergeCell ref="CJK74:CJP74"/>
    <mergeCell ref="CJR74:CJW74"/>
    <mergeCell ref="CJY74:CKD74"/>
    <mergeCell ref="CKF74:CKK74"/>
    <mergeCell ref="CKM74:CKR74"/>
    <mergeCell ref="CHN74:CHS74"/>
    <mergeCell ref="CHU74:CHZ74"/>
    <mergeCell ref="CIB74:CIG74"/>
    <mergeCell ref="CII74:CIN74"/>
    <mergeCell ref="CIP74:CIU74"/>
    <mergeCell ref="CIW74:CJB74"/>
    <mergeCell ref="CFX74:CGC74"/>
    <mergeCell ref="CGE74:CGJ74"/>
    <mergeCell ref="CGL74:CGQ74"/>
    <mergeCell ref="CGS74:CGX74"/>
    <mergeCell ref="CGZ74:CHE74"/>
    <mergeCell ref="CHG74:CHL74"/>
    <mergeCell ref="CEH74:CEM74"/>
    <mergeCell ref="CEO74:CET74"/>
    <mergeCell ref="CEV74:CFA74"/>
    <mergeCell ref="CFC74:CFH74"/>
    <mergeCell ref="CFJ74:CFO74"/>
    <mergeCell ref="CFQ74:CFV74"/>
    <mergeCell ref="CCR74:CCW74"/>
    <mergeCell ref="CCY74:CDD74"/>
    <mergeCell ref="CDF74:CDK74"/>
    <mergeCell ref="CDM74:CDR74"/>
    <mergeCell ref="CDT74:CDY74"/>
    <mergeCell ref="CEA74:CEF74"/>
    <mergeCell ref="CBB74:CBG74"/>
    <mergeCell ref="CBI74:CBN74"/>
    <mergeCell ref="CBP74:CBU74"/>
    <mergeCell ref="CBW74:CCB74"/>
    <mergeCell ref="CCD74:CCI74"/>
    <mergeCell ref="CCK74:CCP74"/>
    <mergeCell ref="BZL74:BZQ74"/>
    <mergeCell ref="BZS74:BZX74"/>
    <mergeCell ref="BZZ74:CAE74"/>
    <mergeCell ref="CAG74:CAL74"/>
    <mergeCell ref="CAN74:CAS74"/>
    <mergeCell ref="CAU74:CAZ74"/>
    <mergeCell ref="BXV74:BYA74"/>
    <mergeCell ref="BYC74:BYH74"/>
    <mergeCell ref="BYJ74:BYO74"/>
    <mergeCell ref="BYQ74:BYV74"/>
    <mergeCell ref="BYX74:BZC74"/>
    <mergeCell ref="BZE74:BZJ74"/>
    <mergeCell ref="BWF74:BWK74"/>
    <mergeCell ref="BWM74:BWR74"/>
    <mergeCell ref="BWT74:BWY74"/>
    <mergeCell ref="BXA74:BXF74"/>
    <mergeCell ref="BXH74:BXM74"/>
    <mergeCell ref="BXO74:BXT74"/>
    <mergeCell ref="BUP74:BUU74"/>
    <mergeCell ref="BUW74:BVB74"/>
    <mergeCell ref="BVD74:BVI74"/>
    <mergeCell ref="BVK74:BVP74"/>
    <mergeCell ref="BVR74:BVW74"/>
    <mergeCell ref="BVY74:BWD74"/>
    <mergeCell ref="BSZ74:BTE74"/>
    <mergeCell ref="BTG74:BTL74"/>
    <mergeCell ref="BTN74:BTS74"/>
    <mergeCell ref="BTU74:BTZ74"/>
    <mergeCell ref="BUB74:BUG74"/>
    <mergeCell ref="BUI74:BUN74"/>
    <mergeCell ref="BRJ74:BRO74"/>
    <mergeCell ref="BRQ74:BRV74"/>
    <mergeCell ref="BRX74:BSC74"/>
    <mergeCell ref="BSE74:BSJ74"/>
    <mergeCell ref="BSL74:BSQ74"/>
    <mergeCell ref="BSS74:BSX74"/>
    <mergeCell ref="BPT74:BPY74"/>
    <mergeCell ref="BQA74:BQF74"/>
    <mergeCell ref="BQH74:BQM74"/>
    <mergeCell ref="BQO74:BQT74"/>
    <mergeCell ref="BQV74:BRA74"/>
    <mergeCell ref="BRC74:BRH74"/>
    <mergeCell ref="BOD74:BOI74"/>
    <mergeCell ref="BOK74:BOP74"/>
    <mergeCell ref="BOR74:BOW74"/>
    <mergeCell ref="BOY74:BPD74"/>
    <mergeCell ref="BPF74:BPK74"/>
    <mergeCell ref="BPM74:BPR74"/>
    <mergeCell ref="BMN74:BMS74"/>
    <mergeCell ref="BMU74:BMZ74"/>
    <mergeCell ref="BNB74:BNG74"/>
    <mergeCell ref="BNI74:BNN74"/>
    <mergeCell ref="BNP74:BNU74"/>
    <mergeCell ref="BNW74:BOB74"/>
    <mergeCell ref="BKX74:BLC74"/>
    <mergeCell ref="BLE74:BLJ74"/>
    <mergeCell ref="BLL74:BLQ74"/>
    <mergeCell ref="BLS74:BLX74"/>
    <mergeCell ref="BLZ74:BME74"/>
    <mergeCell ref="BMG74:BML74"/>
    <mergeCell ref="BJH74:BJM74"/>
    <mergeCell ref="BJO74:BJT74"/>
    <mergeCell ref="BJV74:BKA74"/>
    <mergeCell ref="BKC74:BKH74"/>
    <mergeCell ref="BKJ74:BKO74"/>
    <mergeCell ref="BKQ74:BKV74"/>
    <mergeCell ref="BHR74:BHW74"/>
    <mergeCell ref="BHY74:BID74"/>
    <mergeCell ref="BIF74:BIK74"/>
    <mergeCell ref="BIM74:BIR74"/>
    <mergeCell ref="BIT74:BIY74"/>
    <mergeCell ref="BJA74:BJF74"/>
    <mergeCell ref="BGB74:BGG74"/>
    <mergeCell ref="BGI74:BGN74"/>
    <mergeCell ref="BGP74:BGU74"/>
    <mergeCell ref="BGW74:BHB74"/>
    <mergeCell ref="BHD74:BHI74"/>
    <mergeCell ref="BHK74:BHP74"/>
    <mergeCell ref="BEL74:BEQ74"/>
    <mergeCell ref="BES74:BEX74"/>
    <mergeCell ref="BEZ74:BFE74"/>
    <mergeCell ref="BFG74:BFL74"/>
    <mergeCell ref="BFN74:BFS74"/>
    <mergeCell ref="BFU74:BFZ74"/>
    <mergeCell ref="BCV74:BDA74"/>
    <mergeCell ref="BDC74:BDH74"/>
    <mergeCell ref="BDJ74:BDO74"/>
    <mergeCell ref="BDQ74:BDV74"/>
    <mergeCell ref="BDX74:BEC74"/>
    <mergeCell ref="BEE74:BEJ74"/>
    <mergeCell ref="BBF74:BBK74"/>
    <mergeCell ref="BBM74:BBR74"/>
    <mergeCell ref="BBT74:BBY74"/>
    <mergeCell ref="BCA74:BCF74"/>
    <mergeCell ref="BCH74:BCM74"/>
    <mergeCell ref="BCO74:BCT74"/>
    <mergeCell ref="AZP74:AZU74"/>
    <mergeCell ref="AZW74:BAB74"/>
    <mergeCell ref="BAD74:BAI74"/>
    <mergeCell ref="BAK74:BAP74"/>
    <mergeCell ref="BAR74:BAW74"/>
    <mergeCell ref="BAY74:BBD74"/>
    <mergeCell ref="AXZ74:AYE74"/>
    <mergeCell ref="AYG74:AYL74"/>
    <mergeCell ref="AYN74:AYS74"/>
    <mergeCell ref="AYU74:AYZ74"/>
    <mergeCell ref="AZB74:AZG74"/>
    <mergeCell ref="AZI74:AZN74"/>
    <mergeCell ref="AWJ74:AWO74"/>
    <mergeCell ref="AWQ74:AWV74"/>
    <mergeCell ref="AWX74:AXC74"/>
    <mergeCell ref="AXE74:AXJ74"/>
    <mergeCell ref="AXL74:AXQ74"/>
    <mergeCell ref="AXS74:AXX74"/>
    <mergeCell ref="AUT74:AUY74"/>
    <mergeCell ref="AVA74:AVF74"/>
    <mergeCell ref="AVH74:AVM74"/>
    <mergeCell ref="AVO74:AVT74"/>
    <mergeCell ref="AVV74:AWA74"/>
    <mergeCell ref="AWC74:AWH74"/>
    <mergeCell ref="ATD74:ATI74"/>
    <mergeCell ref="ATK74:ATP74"/>
    <mergeCell ref="ATR74:ATW74"/>
    <mergeCell ref="ATY74:AUD74"/>
    <mergeCell ref="AUF74:AUK74"/>
    <mergeCell ref="AUM74:AUR74"/>
    <mergeCell ref="ARN74:ARS74"/>
    <mergeCell ref="ARU74:ARZ74"/>
    <mergeCell ref="ASB74:ASG74"/>
    <mergeCell ref="ASI74:ASN74"/>
    <mergeCell ref="ASP74:ASU74"/>
    <mergeCell ref="ASW74:ATB74"/>
    <mergeCell ref="APX74:AQC74"/>
    <mergeCell ref="AQE74:AQJ74"/>
    <mergeCell ref="AQL74:AQQ74"/>
    <mergeCell ref="AQS74:AQX74"/>
    <mergeCell ref="AQZ74:ARE74"/>
    <mergeCell ref="ARG74:ARL74"/>
    <mergeCell ref="AOH74:AOM74"/>
    <mergeCell ref="AOO74:AOT74"/>
    <mergeCell ref="AOV74:APA74"/>
    <mergeCell ref="APC74:APH74"/>
    <mergeCell ref="APJ74:APO74"/>
    <mergeCell ref="APQ74:APV74"/>
    <mergeCell ref="AMR74:AMW74"/>
    <mergeCell ref="AMY74:AND74"/>
    <mergeCell ref="ANF74:ANK74"/>
    <mergeCell ref="ANM74:ANR74"/>
    <mergeCell ref="ANT74:ANY74"/>
    <mergeCell ref="AOA74:AOF74"/>
    <mergeCell ref="ALB74:ALG74"/>
    <mergeCell ref="ALI74:ALN74"/>
    <mergeCell ref="ALP74:ALU74"/>
    <mergeCell ref="ALW74:AMB74"/>
    <mergeCell ref="AMD74:AMI74"/>
    <mergeCell ref="AMK74:AMP74"/>
    <mergeCell ref="AJL74:AJQ74"/>
    <mergeCell ref="AJS74:AJX74"/>
    <mergeCell ref="AJZ74:AKE74"/>
    <mergeCell ref="AKG74:AKL74"/>
    <mergeCell ref="AKN74:AKS74"/>
    <mergeCell ref="AKU74:AKZ74"/>
    <mergeCell ref="AHV74:AIA74"/>
    <mergeCell ref="AIC74:AIH74"/>
    <mergeCell ref="AIJ74:AIO74"/>
    <mergeCell ref="AIQ74:AIV74"/>
    <mergeCell ref="AIX74:AJC74"/>
    <mergeCell ref="AJE74:AJJ74"/>
    <mergeCell ref="AGF74:AGK74"/>
    <mergeCell ref="AGM74:AGR74"/>
    <mergeCell ref="AGT74:AGY74"/>
    <mergeCell ref="AHA74:AHF74"/>
    <mergeCell ref="AHH74:AHM74"/>
    <mergeCell ref="AHO74:AHT74"/>
    <mergeCell ref="AEP74:AEU74"/>
    <mergeCell ref="AEW74:AFB74"/>
    <mergeCell ref="AFD74:AFI74"/>
    <mergeCell ref="AFK74:AFP74"/>
    <mergeCell ref="AFR74:AFW74"/>
    <mergeCell ref="AFY74:AGD74"/>
    <mergeCell ref="ACZ74:ADE74"/>
    <mergeCell ref="ADG74:ADL74"/>
    <mergeCell ref="ADN74:ADS74"/>
    <mergeCell ref="ADU74:ADZ74"/>
    <mergeCell ref="AEB74:AEG74"/>
    <mergeCell ref="AEI74:AEN74"/>
    <mergeCell ref="ABJ74:ABO74"/>
    <mergeCell ref="ABQ74:ABV74"/>
    <mergeCell ref="ABX74:ACC74"/>
    <mergeCell ref="ACE74:ACJ74"/>
    <mergeCell ref="ACL74:ACQ74"/>
    <mergeCell ref="ACS74:ACX74"/>
    <mergeCell ref="ZT74:ZY74"/>
    <mergeCell ref="AAA74:AAF74"/>
    <mergeCell ref="AAH74:AAM74"/>
    <mergeCell ref="AAO74:AAT74"/>
    <mergeCell ref="AAV74:ABA74"/>
    <mergeCell ref="ABC74:ABH74"/>
    <mergeCell ref="YD74:YI74"/>
    <mergeCell ref="YK74:YP74"/>
    <mergeCell ref="YR74:YW74"/>
    <mergeCell ref="YY74:ZD74"/>
    <mergeCell ref="ZF74:ZK74"/>
    <mergeCell ref="ZM74:ZR74"/>
    <mergeCell ref="WN74:WS74"/>
    <mergeCell ref="WU74:WZ74"/>
    <mergeCell ref="XB74:XG74"/>
    <mergeCell ref="XI74:XN74"/>
    <mergeCell ref="XP74:XU74"/>
    <mergeCell ref="XW74:YB74"/>
    <mergeCell ref="UX74:VC74"/>
    <mergeCell ref="VE74:VJ74"/>
    <mergeCell ref="VL74:VQ74"/>
    <mergeCell ref="VS74:VX74"/>
    <mergeCell ref="VZ74:WE74"/>
    <mergeCell ref="WG74:WL74"/>
    <mergeCell ref="TO74:TT74"/>
    <mergeCell ref="TV74:UA74"/>
    <mergeCell ref="UC74:UH74"/>
    <mergeCell ref="UJ74:UO74"/>
    <mergeCell ref="UQ74:UV74"/>
    <mergeCell ref="RR74:RW74"/>
    <mergeCell ref="RY74:SD74"/>
    <mergeCell ref="SF74:SK74"/>
    <mergeCell ref="SM74:SR74"/>
    <mergeCell ref="ST74:SY74"/>
    <mergeCell ref="TA74:TF74"/>
    <mergeCell ref="QB74:QG74"/>
    <mergeCell ref="QI74:QN74"/>
    <mergeCell ref="QP74:QU74"/>
    <mergeCell ref="QW74:RB74"/>
    <mergeCell ref="RD74:RI74"/>
    <mergeCell ref="RK74:RP74"/>
    <mergeCell ref="OZ74:PE74"/>
    <mergeCell ref="PG74:PL74"/>
    <mergeCell ref="PN74:PS74"/>
    <mergeCell ref="PU74:PZ74"/>
    <mergeCell ref="MV74:NA74"/>
    <mergeCell ref="NC74:NH74"/>
    <mergeCell ref="NJ74:NO74"/>
    <mergeCell ref="NQ74:NV74"/>
    <mergeCell ref="NX74:OC74"/>
    <mergeCell ref="OE74:OJ74"/>
    <mergeCell ref="LF74:LK74"/>
    <mergeCell ref="LM74:LR74"/>
    <mergeCell ref="LT74:LY74"/>
    <mergeCell ref="MA74:MF74"/>
    <mergeCell ref="MH74:MM74"/>
    <mergeCell ref="MO74:MT74"/>
    <mergeCell ref="TH74:TM74"/>
    <mergeCell ref="KD74:KI74"/>
    <mergeCell ref="KK74:KP74"/>
    <mergeCell ref="KR74:KW74"/>
    <mergeCell ref="KY74:LD74"/>
    <mergeCell ref="HZ74:IE74"/>
    <mergeCell ref="IG74:IL74"/>
    <mergeCell ref="IN74:IS74"/>
    <mergeCell ref="IU74:IZ74"/>
    <mergeCell ref="JB74:JG74"/>
    <mergeCell ref="JI74:JN74"/>
    <mergeCell ref="GQ74:GV74"/>
    <mergeCell ref="GX74:HC74"/>
    <mergeCell ref="HE74:HJ74"/>
    <mergeCell ref="HL74:HQ74"/>
    <mergeCell ref="HS74:HX74"/>
    <mergeCell ref="OL74:OQ74"/>
    <mergeCell ref="OS74:OX74"/>
    <mergeCell ref="FO74:FT74"/>
    <mergeCell ref="FV74:GA74"/>
    <mergeCell ref="GC74:GH74"/>
    <mergeCell ref="DD74:DI74"/>
    <mergeCell ref="DK74:DP74"/>
    <mergeCell ref="DR74:DW74"/>
    <mergeCell ref="DY74:ED74"/>
    <mergeCell ref="EF74:EK74"/>
    <mergeCell ref="EM74:ER74"/>
    <mergeCell ref="BN74:BS74"/>
    <mergeCell ref="BU74:BZ74"/>
    <mergeCell ref="CB74:CG74"/>
    <mergeCell ref="CI74:CN74"/>
    <mergeCell ref="CP74:CU74"/>
    <mergeCell ref="CW74:DB74"/>
    <mergeCell ref="JP74:JU74"/>
    <mergeCell ref="JW74:KB74"/>
    <mergeCell ref="XEV73:XEX73"/>
    <mergeCell ref="J74:O74"/>
    <mergeCell ref="Q74:V74"/>
    <mergeCell ref="X74:AC74"/>
    <mergeCell ref="AE74:AJ74"/>
    <mergeCell ref="AL74:AQ74"/>
    <mergeCell ref="AS74:AX74"/>
    <mergeCell ref="AZ74:BE74"/>
    <mergeCell ref="BG74:BL74"/>
    <mergeCell ref="XDF73:XDK73"/>
    <mergeCell ref="XDM73:XDR73"/>
    <mergeCell ref="XDT73:XDY73"/>
    <mergeCell ref="XEA73:XEF73"/>
    <mergeCell ref="XEH73:XEM73"/>
    <mergeCell ref="XEO73:XET73"/>
    <mergeCell ref="XBP73:XBU73"/>
    <mergeCell ref="XBW73:XCB73"/>
    <mergeCell ref="XCD73:XCI73"/>
    <mergeCell ref="XCK73:XCP73"/>
    <mergeCell ref="XCR73:XCW73"/>
    <mergeCell ref="XCY73:XDD73"/>
    <mergeCell ref="WZZ73:XAE73"/>
    <mergeCell ref="XAG73:XAL73"/>
    <mergeCell ref="XAN73:XAS73"/>
    <mergeCell ref="XAU73:XAZ73"/>
    <mergeCell ref="GJ74:GO74"/>
    <mergeCell ref="XBB73:XBG73"/>
    <mergeCell ref="XBI73:XBN73"/>
    <mergeCell ref="WYJ73:WYO73"/>
    <mergeCell ref="WYQ73:WYV73"/>
    <mergeCell ref="WYX73:WZC73"/>
    <mergeCell ref="WZE73:WZJ73"/>
    <mergeCell ref="WZL73:WZQ73"/>
    <mergeCell ref="WZS73:WZX73"/>
    <mergeCell ref="WWT73:WWY73"/>
    <mergeCell ref="WXA73:WXF73"/>
    <mergeCell ref="WXH73:WXM73"/>
    <mergeCell ref="WXO73:WXT73"/>
    <mergeCell ref="WXV73:WYA73"/>
    <mergeCell ref="WYC73:WYH73"/>
    <mergeCell ref="WVD73:WVI73"/>
    <mergeCell ref="WVK73:WVP73"/>
    <mergeCell ref="WVR73:WVW73"/>
    <mergeCell ref="WVY73:WWD73"/>
    <mergeCell ref="WWF73:WWK73"/>
    <mergeCell ref="WWM73:WWR73"/>
    <mergeCell ref="WTN73:WTS73"/>
    <mergeCell ref="WTU73:WTZ73"/>
    <mergeCell ref="WUB73:WUG73"/>
    <mergeCell ref="WUI73:WUN73"/>
    <mergeCell ref="WUP73:WUU73"/>
    <mergeCell ref="WUW73:WVB73"/>
    <mergeCell ref="WRX73:WSC73"/>
    <mergeCell ref="WSE73:WSJ73"/>
    <mergeCell ref="WSL73:WSQ73"/>
    <mergeCell ref="WSS73:WSX73"/>
    <mergeCell ref="WSZ73:WTE73"/>
    <mergeCell ref="WTG73:WTL73"/>
    <mergeCell ref="WQH73:WQM73"/>
    <mergeCell ref="WQO73:WQT73"/>
    <mergeCell ref="WQV73:WRA73"/>
    <mergeCell ref="WRC73:WRH73"/>
    <mergeCell ref="WRJ73:WRO73"/>
    <mergeCell ref="WRQ73:WRV73"/>
    <mergeCell ref="WOR73:WOW73"/>
    <mergeCell ref="WOY73:WPD73"/>
    <mergeCell ref="WPF73:WPK73"/>
    <mergeCell ref="WPM73:WPR73"/>
    <mergeCell ref="WPT73:WPY73"/>
    <mergeCell ref="WQA73:WQF73"/>
    <mergeCell ref="WNB73:WNG73"/>
    <mergeCell ref="WNI73:WNN73"/>
    <mergeCell ref="WNP73:WNU73"/>
    <mergeCell ref="WNW73:WOB73"/>
    <mergeCell ref="WOD73:WOI73"/>
    <mergeCell ref="WOK73:WOP73"/>
    <mergeCell ref="WLL73:WLQ73"/>
    <mergeCell ref="WLS73:WLX73"/>
    <mergeCell ref="WLZ73:WME73"/>
    <mergeCell ref="WMG73:WML73"/>
    <mergeCell ref="WMN73:WMS73"/>
    <mergeCell ref="WMU73:WMZ73"/>
    <mergeCell ref="WJV73:WKA73"/>
    <mergeCell ref="WKC73:WKH73"/>
    <mergeCell ref="WKJ73:WKO73"/>
    <mergeCell ref="WKQ73:WKV73"/>
    <mergeCell ref="WKX73:WLC73"/>
    <mergeCell ref="WLE73:WLJ73"/>
    <mergeCell ref="WIF73:WIK73"/>
    <mergeCell ref="WIM73:WIR73"/>
    <mergeCell ref="WIT73:WIY73"/>
    <mergeCell ref="WJA73:WJF73"/>
    <mergeCell ref="WJH73:WJM73"/>
    <mergeCell ref="WJO73:WJT73"/>
    <mergeCell ref="WGP73:WGU73"/>
    <mergeCell ref="WGW73:WHB73"/>
    <mergeCell ref="WHD73:WHI73"/>
    <mergeCell ref="WHK73:WHP73"/>
    <mergeCell ref="WHR73:WHW73"/>
    <mergeCell ref="WHY73:WID73"/>
    <mergeCell ref="WEZ73:WFE73"/>
    <mergeCell ref="WFG73:WFL73"/>
    <mergeCell ref="WFN73:WFS73"/>
    <mergeCell ref="WFU73:WFZ73"/>
    <mergeCell ref="WGB73:WGG73"/>
    <mergeCell ref="WGI73:WGN73"/>
    <mergeCell ref="WDJ73:WDO73"/>
    <mergeCell ref="WDQ73:WDV73"/>
    <mergeCell ref="WDX73:WEC73"/>
    <mergeCell ref="WEE73:WEJ73"/>
    <mergeCell ref="WEL73:WEQ73"/>
    <mergeCell ref="WES73:WEX73"/>
    <mergeCell ref="WBT73:WBY73"/>
    <mergeCell ref="WCA73:WCF73"/>
    <mergeCell ref="WCH73:WCM73"/>
    <mergeCell ref="WCO73:WCT73"/>
    <mergeCell ref="WCV73:WDA73"/>
    <mergeCell ref="WDC73:WDH73"/>
    <mergeCell ref="WAD73:WAI73"/>
    <mergeCell ref="WAK73:WAP73"/>
    <mergeCell ref="WAR73:WAW73"/>
    <mergeCell ref="WAY73:WBD73"/>
    <mergeCell ref="WBF73:WBK73"/>
    <mergeCell ref="WBM73:WBR73"/>
    <mergeCell ref="VYN73:VYS73"/>
    <mergeCell ref="VYU73:VYZ73"/>
    <mergeCell ref="VZB73:VZG73"/>
    <mergeCell ref="VZI73:VZN73"/>
    <mergeCell ref="VZP73:VZU73"/>
    <mergeCell ref="VZW73:WAB73"/>
    <mergeCell ref="VWX73:VXC73"/>
    <mergeCell ref="VXE73:VXJ73"/>
    <mergeCell ref="VXL73:VXQ73"/>
    <mergeCell ref="VXS73:VXX73"/>
    <mergeCell ref="VXZ73:VYE73"/>
    <mergeCell ref="VYG73:VYL73"/>
    <mergeCell ref="VVH73:VVM73"/>
    <mergeCell ref="VVO73:VVT73"/>
    <mergeCell ref="VVV73:VWA73"/>
    <mergeCell ref="VWC73:VWH73"/>
    <mergeCell ref="VWJ73:VWO73"/>
    <mergeCell ref="VWQ73:VWV73"/>
    <mergeCell ref="VTR73:VTW73"/>
    <mergeCell ref="VTY73:VUD73"/>
    <mergeCell ref="VUF73:VUK73"/>
    <mergeCell ref="VUM73:VUR73"/>
    <mergeCell ref="VUT73:VUY73"/>
    <mergeCell ref="VVA73:VVF73"/>
    <mergeCell ref="VSB73:VSG73"/>
    <mergeCell ref="VSI73:VSN73"/>
    <mergeCell ref="VSP73:VSU73"/>
    <mergeCell ref="VSW73:VTB73"/>
    <mergeCell ref="VTD73:VTI73"/>
    <mergeCell ref="VTK73:VTP73"/>
    <mergeCell ref="VQL73:VQQ73"/>
    <mergeCell ref="VQS73:VQX73"/>
    <mergeCell ref="VQZ73:VRE73"/>
    <mergeCell ref="VRG73:VRL73"/>
    <mergeCell ref="VRN73:VRS73"/>
    <mergeCell ref="VRU73:VRZ73"/>
    <mergeCell ref="VOV73:VPA73"/>
    <mergeCell ref="VPC73:VPH73"/>
    <mergeCell ref="VPJ73:VPO73"/>
    <mergeCell ref="VPQ73:VPV73"/>
    <mergeCell ref="VPX73:VQC73"/>
    <mergeCell ref="VQE73:VQJ73"/>
    <mergeCell ref="VNF73:VNK73"/>
    <mergeCell ref="VNM73:VNR73"/>
    <mergeCell ref="VNT73:VNY73"/>
    <mergeCell ref="VOA73:VOF73"/>
    <mergeCell ref="VOH73:VOM73"/>
    <mergeCell ref="VOO73:VOT73"/>
    <mergeCell ref="VLP73:VLU73"/>
    <mergeCell ref="VLW73:VMB73"/>
    <mergeCell ref="VMD73:VMI73"/>
    <mergeCell ref="VMK73:VMP73"/>
    <mergeCell ref="VMR73:VMW73"/>
    <mergeCell ref="VMY73:VND73"/>
    <mergeCell ref="VJZ73:VKE73"/>
    <mergeCell ref="VKG73:VKL73"/>
    <mergeCell ref="VKN73:VKS73"/>
    <mergeCell ref="VKU73:VKZ73"/>
    <mergeCell ref="VLB73:VLG73"/>
    <mergeCell ref="VLI73:VLN73"/>
    <mergeCell ref="VIJ73:VIO73"/>
    <mergeCell ref="VIQ73:VIV73"/>
    <mergeCell ref="VIX73:VJC73"/>
    <mergeCell ref="VJE73:VJJ73"/>
    <mergeCell ref="VJL73:VJQ73"/>
    <mergeCell ref="VJS73:VJX73"/>
    <mergeCell ref="VGT73:VGY73"/>
    <mergeCell ref="VHA73:VHF73"/>
    <mergeCell ref="VHH73:VHM73"/>
    <mergeCell ref="VHO73:VHT73"/>
    <mergeCell ref="VHV73:VIA73"/>
    <mergeCell ref="VIC73:VIH73"/>
    <mergeCell ref="VFD73:VFI73"/>
    <mergeCell ref="VFK73:VFP73"/>
    <mergeCell ref="VFR73:VFW73"/>
    <mergeCell ref="VFY73:VGD73"/>
    <mergeCell ref="VGF73:VGK73"/>
    <mergeCell ref="VGM73:VGR73"/>
    <mergeCell ref="VDN73:VDS73"/>
    <mergeCell ref="VDU73:VDZ73"/>
    <mergeCell ref="VEB73:VEG73"/>
    <mergeCell ref="VEI73:VEN73"/>
    <mergeCell ref="VEP73:VEU73"/>
    <mergeCell ref="VEW73:VFB73"/>
    <mergeCell ref="VBX73:VCC73"/>
    <mergeCell ref="VCE73:VCJ73"/>
    <mergeCell ref="VCL73:VCQ73"/>
    <mergeCell ref="VCS73:VCX73"/>
    <mergeCell ref="VCZ73:VDE73"/>
    <mergeCell ref="VDG73:VDL73"/>
    <mergeCell ref="VAH73:VAM73"/>
    <mergeCell ref="VAO73:VAT73"/>
    <mergeCell ref="VAV73:VBA73"/>
    <mergeCell ref="VBC73:VBH73"/>
    <mergeCell ref="VBJ73:VBO73"/>
    <mergeCell ref="VBQ73:VBV73"/>
    <mergeCell ref="UYR73:UYW73"/>
    <mergeCell ref="UYY73:UZD73"/>
    <mergeCell ref="UZF73:UZK73"/>
    <mergeCell ref="UZM73:UZR73"/>
    <mergeCell ref="UZT73:UZY73"/>
    <mergeCell ref="VAA73:VAF73"/>
    <mergeCell ref="UXB73:UXG73"/>
    <mergeCell ref="UXI73:UXN73"/>
    <mergeCell ref="UXP73:UXU73"/>
    <mergeCell ref="UXW73:UYB73"/>
    <mergeCell ref="UYD73:UYI73"/>
    <mergeCell ref="UYK73:UYP73"/>
    <mergeCell ref="UVL73:UVQ73"/>
    <mergeCell ref="UVS73:UVX73"/>
    <mergeCell ref="UVZ73:UWE73"/>
    <mergeCell ref="UWG73:UWL73"/>
    <mergeCell ref="UWN73:UWS73"/>
    <mergeCell ref="UWU73:UWZ73"/>
    <mergeCell ref="UTV73:UUA73"/>
    <mergeCell ref="UUC73:UUH73"/>
    <mergeCell ref="UUJ73:UUO73"/>
    <mergeCell ref="UUQ73:UUV73"/>
    <mergeCell ref="UUX73:UVC73"/>
    <mergeCell ref="UVE73:UVJ73"/>
    <mergeCell ref="USF73:USK73"/>
    <mergeCell ref="USM73:USR73"/>
    <mergeCell ref="UST73:USY73"/>
    <mergeCell ref="UTA73:UTF73"/>
    <mergeCell ref="UTH73:UTM73"/>
    <mergeCell ref="UTO73:UTT73"/>
    <mergeCell ref="UQP73:UQU73"/>
    <mergeCell ref="UQW73:URB73"/>
    <mergeCell ref="URD73:URI73"/>
    <mergeCell ref="URK73:URP73"/>
    <mergeCell ref="URR73:URW73"/>
    <mergeCell ref="URY73:USD73"/>
    <mergeCell ref="UOZ73:UPE73"/>
    <mergeCell ref="UPG73:UPL73"/>
    <mergeCell ref="UPN73:UPS73"/>
    <mergeCell ref="UPU73:UPZ73"/>
    <mergeCell ref="UQB73:UQG73"/>
    <mergeCell ref="UQI73:UQN73"/>
    <mergeCell ref="UNJ73:UNO73"/>
    <mergeCell ref="UNQ73:UNV73"/>
    <mergeCell ref="UNX73:UOC73"/>
    <mergeCell ref="UOE73:UOJ73"/>
    <mergeCell ref="UOL73:UOQ73"/>
    <mergeCell ref="UOS73:UOX73"/>
    <mergeCell ref="ULT73:ULY73"/>
    <mergeCell ref="UMA73:UMF73"/>
    <mergeCell ref="UMH73:UMM73"/>
    <mergeCell ref="UMO73:UMT73"/>
    <mergeCell ref="UMV73:UNA73"/>
    <mergeCell ref="UNC73:UNH73"/>
    <mergeCell ref="UKD73:UKI73"/>
    <mergeCell ref="UKK73:UKP73"/>
    <mergeCell ref="UKR73:UKW73"/>
    <mergeCell ref="UKY73:ULD73"/>
    <mergeCell ref="ULF73:ULK73"/>
    <mergeCell ref="ULM73:ULR73"/>
    <mergeCell ref="UIN73:UIS73"/>
    <mergeCell ref="UIU73:UIZ73"/>
    <mergeCell ref="UJB73:UJG73"/>
    <mergeCell ref="UJI73:UJN73"/>
    <mergeCell ref="UJP73:UJU73"/>
    <mergeCell ref="UJW73:UKB73"/>
    <mergeCell ref="UGX73:UHC73"/>
    <mergeCell ref="UHE73:UHJ73"/>
    <mergeCell ref="UHL73:UHQ73"/>
    <mergeCell ref="UHS73:UHX73"/>
    <mergeCell ref="UHZ73:UIE73"/>
    <mergeCell ref="UIG73:UIL73"/>
    <mergeCell ref="UFH73:UFM73"/>
    <mergeCell ref="UFO73:UFT73"/>
    <mergeCell ref="UFV73:UGA73"/>
    <mergeCell ref="UGC73:UGH73"/>
    <mergeCell ref="UGJ73:UGO73"/>
    <mergeCell ref="UGQ73:UGV73"/>
    <mergeCell ref="UDR73:UDW73"/>
    <mergeCell ref="UDY73:UED73"/>
    <mergeCell ref="UEF73:UEK73"/>
    <mergeCell ref="UEM73:UER73"/>
    <mergeCell ref="UET73:UEY73"/>
    <mergeCell ref="UFA73:UFF73"/>
    <mergeCell ref="UCB73:UCG73"/>
    <mergeCell ref="UCI73:UCN73"/>
    <mergeCell ref="UCP73:UCU73"/>
    <mergeCell ref="UCW73:UDB73"/>
    <mergeCell ref="UDD73:UDI73"/>
    <mergeCell ref="UDK73:UDP73"/>
    <mergeCell ref="UAL73:UAQ73"/>
    <mergeCell ref="UAS73:UAX73"/>
    <mergeCell ref="UAZ73:UBE73"/>
    <mergeCell ref="UBG73:UBL73"/>
    <mergeCell ref="UBN73:UBS73"/>
    <mergeCell ref="UBU73:UBZ73"/>
    <mergeCell ref="TYV73:TZA73"/>
    <mergeCell ref="TZC73:TZH73"/>
    <mergeCell ref="TZJ73:TZO73"/>
    <mergeCell ref="TZQ73:TZV73"/>
    <mergeCell ref="TZX73:UAC73"/>
    <mergeCell ref="UAE73:UAJ73"/>
    <mergeCell ref="TXF73:TXK73"/>
    <mergeCell ref="TXM73:TXR73"/>
    <mergeCell ref="TXT73:TXY73"/>
    <mergeCell ref="TYA73:TYF73"/>
    <mergeCell ref="TYH73:TYM73"/>
    <mergeCell ref="TYO73:TYT73"/>
    <mergeCell ref="TVP73:TVU73"/>
    <mergeCell ref="TVW73:TWB73"/>
    <mergeCell ref="TWD73:TWI73"/>
    <mergeCell ref="TWK73:TWP73"/>
    <mergeCell ref="TWR73:TWW73"/>
    <mergeCell ref="TWY73:TXD73"/>
    <mergeCell ref="TTZ73:TUE73"/>
    <mergeCell ref="TUG73:TUL73"/>
    <mergeCell ref="TUN73:TUS73"/>
    <mergeCell ref="TUU73:TUZ73"/>
    <mergeCell ref="TVB73:TVG73"/>
    <mergeCell ref="TVI73:TVN73"/>
    <mergeCell ref="TSJ73:TSO73"/>
    <mergeCell ref="TSQ73:TSV73"/>
    <mergeCell ref="TSX73:TTC73"/>
    <mergeCell ref="TTE73:TTJ73"/>
    <mergeCell ref="TTL73:TTQ73"/>
    <mergeCell ref="TTS73:TTX73"/>
    <mergeCell ref="TQT73:TQY73"/>
    <mergeCell ref="TRA73:TRF73"/>
    <mergeCell ref="TRH73:TRM73"/>
    <mergeCell ref="TRO73:TRT73"/>
    <mergeCell ref="TRV73:TSA73"/>
    <mergeCell ref="TSC73:TSH73"/>
    <mergeCell ref="TPD73:TPI73"/>
    <mergeCell ref="TPK73:TPP73"/>
    <mergeCell ref="TPR73:TPW73"/>
    <mergeCell ref="TPY73:TQD73"/>
    <mergeCell ref="TQF73:TQK73"/>
    <mergeCell ref="TQM73:TQR73"/>
    <mergeCell ref="TNN73:TNS73"/>
    <mergeCell ref="TNU73:TNZ73"/>
    <mergeCell ref="TOB73:TOG73"/>
    <mergeCell ref="TOI73:TON73"/>
    <mergeCell ref="TOP73:TOU73"/>
    <mergeCell ref="TOW73:TPB73"/>
    <mergeCell ref="TLX73:TMC73"/>
    <mergeCell ref="TME73:TMJ73"/>
    <mergeCell ref="TML73:TMQ73"/>
    <mergeCell ref="TMS73:TMX73"/>
    <mergeCell ref="TMZ73:TNE73"/>
    <mergeCell ref="TNG73:TNL73"/>
    <mergeCell ref="TKH73:TKM73"/>
    <mergeCell ref="TKO73:TKT73"/>
    <mergeCell ref="TKV73:TLA73"/>
    <mergeCell ref="TLC73:TLH73"/>
    <mergeCell ref="TLJ73:TLO73"/>
    <mergeCell ref="TLQ73:TLV73"/>
    <mergeCell ref="TIR73:TIW73"/>
    <mergeCell ref="TIY73:TJD73"/>
    <mergeCell ref="TJF73:TJK73"/>
    <mergeCell ref="TJM73:TJR73"/>
    <mergeCell ref="TJT73:TJY73"/>
    <mergeCell ref="TKA73:TKF73"/>
    <mergeCell ref="THB73:THG73"/>
    <mergeCell ref="THI73:THN73"/>
    <mergeCell ref="THP73:THU73"/>
    <mergeCell ref="THW73:TIB73"/>
    <mergeCell ref="TID73:TII73"/>
    <mergeCell ref="TIK73:TIP73"/>
    <mergeCell ref="TFL73:TFQ73"/>
    <mergeCell ref="TFS73:TFX73"/>
    <mergeCell ref="TFZ73:TGE73"/>
    <mergeCell ref="TGG73:TGL73"/>
    <mergeCell ref="TGN73:TGS73"/>
    <mergeCell ref="TGU73:TGZ73"/>
    <mergeCell ref="TDV73:TEA73"/>
    <mergeCell ref="TEC73:TEH73"/>
    <mergeCell ref="TEJ73:TEO73"/>
    <mergeCell ref="TEQ73:TEV73"/>
    <mergeCell ref="TEX73:TFC73"/>
    <mergeCell ref="TFE73:TFJ73"/>
    <mergeCell ref="TCF73:TCK73"/>
    <mergeCell ref="TCM73:TCR73"/>
    <mergeCell ref="TCT73:TCY73"/>
    <mergeCell ref="TDA73:TDF73"/>
    <mergeCell ref="TDH73:TDM73"/>
    <mergeCell ref="TDO73:TDT73"/>
    <mergeCell ref="TAP73:TAU73"/>
    <mergeCell ref="TAW73:TBB73"/>
    <mergeCell ref="TBD73:TBI73"/>
    <mergeCell ref="TBK73:TBP73"/>
    <mergeCell ref="TBR73:TBW73"/>
    <mergeCell ref="TBY73:TCD73"/>
    <mergeCell ref="SYZ73:SZE73"/>
    <mergeCell ref="SZG73:SZL73"/>
    <mergeCell ref="SZN73:SZS73"/>
    <mergeCell ref="SZU73:SZZ73"/>
    <mergeCell ref="TAB73:TAG73"/>
    <mergeCell ref="TAI73:TAN73"/>
    <mergeCell ref="SXJ73:SXO73"/>
    <mergeCell ref="SXQ73:SXV73"/>
    <mergeCell ref="SXX73:SYC73"/>
    <mergeCell ref="SYE73:SYJ73"/>
    <mergeCell ref="SYL73:SYQ73"/>
    <mergeCell ref="SYS73:SYX73"/>
    <mergeCell ref="SVT73:SVY73"/>
    <mergeCell ref="SWA73:SWF73"/>
    <mergeCell ref="SWH73:SWM73"/>
    <mergeCell ref="SWO73:SWT73"/>
    <mergeCell ref="SWV73:SXA73"/>
    <mergeCell ref="SXC73:SXH73"/>
    <mergeCell ref="SUD73:SUI73"/>
    <mergeCell ref="SUK73:SUP73"/>
    <mergeCell ref="SUR73:SUW73"/>
    <mergeCell ref="SUY73:SVD73"/>
    <mergeCell ref="SVF73:SVK73"/>
    <mergeCell ref="SVM73:SVR73"/>
    <mergeCell ref="SSN73:SSS73"/>
    <mergeCell ref="SSU73:SSZ73"/>
    <mergeCell ref="STB73:STG73"/>
    <mergeCell ref="STI73:STN73"/>
    <mergeCell ref="STP73:STU73"/>
    <mergeCell ref="STW73:SUB73"/>
    <mergeCell ref="SQX73:SRC73"/>
    <mergeCell ref="SRE73:SRJ73"/>
    <mergeCell ref="SRL73:SRQ73"/>
    <mergeCell ref="SRS73:SRX73"/>
    <mergeCell ref="SRZ73:SSE73"/>
    <mergeCell ref="SSG73:SSL73"/>
    <mergeCell ref="SPH73:SPM73"/>
    <mergeCell ref="SPO73:SPT73"/>
    <mergeCell ref="SPV73:SQA73"/>
    <mergeCell ref="SQC73:SQH73"/>
    <mergeCell ref="SQJ73:SQO73"/>
    <mergeCell ref="SQQ73:SQV73"/>
    <mergeCell ref="SNR73:SNW73"/>
    <mergeCell ref="SNY73:SOD73"/>
    <mergeCell ref="SOF73:SOK73"/>
    <mergeCell ref="SOM73:SOR73"/>
    <mergeCell ref="SOT73:SOY73"/>
    <mergeCell ref="SPA73:SPF73"/>
    <mergeCell ref="SMB73:SMG73"/>
    <mergeCell ref="SMI73:SMN73"/>
    <mergeCell ref="SMP73:SMU73"/>
    <mergeCell ref="SMW73:SNB73"/>
    <mergeCell ref="SND73:SNI73"/>
    <mergeCell ref="SNK73:SNP73"/>
    <mergeCell ref="SKL73:SKQ73"/>
    <mergeCell ref="SKS73:SKX73"/>
    <mergeCell ref="SKZ73:SLE73"/>
    <mergeCell ref="SLG73:SLL73"/>
    <mergeCell ref="SLN73:SLS73"/>
    <mergeCell ref="SLU73:SLZ73"/>
    <mergeCell ref="SIV73:SJA73"/>
    <mergeCell ref="SJC73:SJH73"/>
    <mergeCell ref="SJJ73:SJO73"/>
    <mergeCell ref="SJQ73:SJV73"/>
    <mergeCell ref="SJX73:SKC73"/>
    <mergeCell ref="SKE73:SKJ73"/>
    <mergeCell ref="SHF73:SHK73"/>
    <mergeCell ref="SHM73:SHR73"/>
    <mergeCell ref="SHT73:SHY73"/>
    <mergeCell ref="SIA73:SIF73"/>
    <mergeCell ref="SIH73:SIM73"/>
    <mergeCell ref="SIO73:SIT73"/>
    <mergeCell ref="SFP73:SFU73"/>
    <mergeCell ref="SFW73:SGB73"/>
    <mergeCell ref="SGD73:SGI73"/>
    <mergeCell ref="SGK73:SGP73"/>
    <mergeCell ref="SGR73:SGW73"/>
    <mergeCell ref="SGY73:SHD73"/>
    <mergeCell ref="SDZ73:SEE73"/>
    <mergeCell ref="SEG73:SEL73"/>
    <mergeCell ref="SEN73:SES73"/>
    <mergeCell ref="SEU73:SEZ73"/>
    <mergeCell ref="SFB73:SFG73"/>
    <mergeCell ref="SFI73:SFN73"/>
    <mergeCell ref="SCJ73:SCO73"/>
    <mergeCell ref="SCQ73:SCV73"/>
    <mergeCell ref="SCX73:SDC73"/>
    <mergeCell ref="SDE73:SDJ73"/>
    <mergeCell ref="SDL73:SDQ73"/>
    <mergeCell ref="SDS73:SDX73"/>
    <mergeCell ref="SAT73:SAY73"/>
    <mergeCell ref="SBA73:SBF73"/>
    <mergeCell ref="SBH73:SBM73"/>
    <mergeCell ref="SBO73:SBT73"/>
    <mergeCell ref="SBV73:SCA73"/>
    <mergeCell ref="SCC73:SCH73"/>
    <mergeCell ref="RZD73:RZI73"/>
    <mergeCell ref="RZK73:RZP73"/>
    <mergeCell ref="RZR73:RZW73"/>
    <mergeCell ref="RZY73:SAD73"/>
    <mergeCell ref="SAF73:SAK73"/>
    <mergeCell ref="SAM73:SAR73"/>
    <mergeCell ref="RXN73:RXS73"/>
    <mergeCell ref="RXU73:RXZ73"/>
    <mergeCell ref="RYB73:RYG73"/>
    <mergeCell ref="RYI73:RYN73"/>
    <mergeCell ref="RYP73:RYU73"/>
    <mergeCell ref="RYW73:RZB73"/>
    <mergeCell ref="RVX73:RWC73"/>
    <mergeCell ref="RWE73:RWJ73"/>
    <mergeCell ref="RWL73:RWQ73"/>
    <mergeCell ref="RWS73:RWX73"/>
    <mergeCell ref="RWZ73:RXE73"/>
    <mergeCell ref="RXG73:RXL73"/>
    <mergeCell ref="RUH73:RUM73"/>
    <mergeCell ref="RUO73:RUT73"/>
    <mergeCell ref="RUV73:RVA73"/>
    <mergeCell ref="RVC73:RVH73"/>
    <mergeCell ref="RVJ73:RVO73"/>
    <mergeCell ref="RVQ73:RVV73"/>
    <mergeCell ref="RSR73:RSW73"/>
    <mergeCell ref="RSY73:RTD73"/>
    <mergeCell ref="RTF73:RTK73"/>
    <mergeCell ref="RTM73:RTR73"/>
    <mergeCell ref="RTT73:RTY73"/>
    <mergeCell ref="RUA73:RUF73"/>
    <mergeCell ref="RRB73:RRG73"/>
    <mergeCell ref="RRI73:RRN73"/>
    <mergeCell ref="RRP73:RRU73"/>
    <mergeCell ref="RRW73:RSB73"/>
    <mergeCell ref="RSD73:RSI73"/>
    <mergeCell ref="RSK73:RSP73"/>
    <mergeCell ref="RPL73:RPQ73"/>
    <mergeCell ref="RPS73:RPX73"/>
    <mergeCell ref="RPZ73:RQE73"/>
    <mergeCell ref="RQG73:RQL73"/>
    <mergeCell ref="RQN73:RQS73"/>
    <mergeCell ref="RQU73:RQZ73"/>
    <mergeCell ref="RNV73:ROA73"/>
    <mergeCell ref="ROC73:ROH73"/>
    <mergeCell ref="ROJ73:ROO73"/>
    <mergeCell ref="ROQ73:ROV73"/>
    <mergeCell ref="ROX73:RPC73"/>
    <mergeCell ref="RPE73:RPJ73"/>
    <mergeCell ref="RMF73:RMK73"/>
    <mergeCell ref="RMM73:RMR73"/>
    <mergeCell ref="RMT73:RMY73"/>
    <mergeCell ref="RNA73:RNF73"/>
    <mergeCell ref="RNH73:RNM73"/>
    <mergeCell ref="RNO73:RNT73"/>
    <mergeCell ref="RKP73:RKU73"/>
    <mergeCell ref="RKW73:RLB73"/>
    <mergeCell ref="RLD73:RLI73"/>
    <mergeCell ref="RLK73:RLP73"/>
    <mergeCell ref="RLR73:RLW73"/>
    <mergeCell ref="RLY73:RMD73"/>
    <mergeCell ref="RIZ73:RJE73"/>
    <mergeCell ref="RJG73:RJL73"/>
    <mergeCell ref="RJN73:RJS73"/>
    <mergeCell ref="RJU73:RJZ73"/>
    <mergeCell ref="RKB73:RKG73"/>
    <mergeCell ref="RKI73:RKN73"/>
    <mergeCell ref="RHJ73:RHO73"/>
    <mergeCell ref="RHQ73:RHV73"/>
    <mergeCell ref="RHX73:RIC73"/>
    <mergeCell ref="RIE73:RIJ73"/>
    <mergeCell ref="RIL73:RIQ73"/>
    <mergeCell ref="RIS73:RIX73"/>
    <mergeCell ref="RFT73:RFY73"/>
    <mergeCell ref="RGA73:RGF73"/>
    <mergeCell ref="RGH73:RGM73"/>
    <mergeCell ref="RGO73:RGT73"/>
    <mergeCell ref="RGV73:RHA73"/>
    <mergeCell ref="RHC73:RHH73"/>
    <mergeCell ref="RED73:REI73"/>
    <mergeCell ref="REK73:REP73"/>
    <mergeCell ref="RER73:REW73"/>
    <mergeCell ref="REY73:RFD73"/>
    <mergeCell ref="RFF73:RFK73"/>
    <mergeCell ref="RFM73:RFR73"/>
    <mergeCell ref="RCN73:RCS73"/>
    <mergeCell ref="RCU73:RCZ73"/>
    <mergeCell ref="RDB73:RDG73"/>
    <mergeCell ref="RDI73:RDN73"/>
    <mergeCell ref="RDP73:RDU73"/>
    <mergeCell ref="RDW73:REB73"/>
    <mergeCell ref="RAX73:RBC73"/>
    <mergeCell ref="RBE73:RBJ73"/>
    <mergeCell ref="RBL73:RBQ73"/>
    <mergeCell ref="RBS73:RBX73"/>
    <mergeCell ref="RBZ73:RCE73"/>
    <mergeCell ref="RCG73:RCL73"/>
    <mergeCell ref="QZH73:QZM73"/>
    <mergeCell ref="QZO73:QZT73"/>
    <mergeCell ref="QZV73:RAA73"/>
    <mergeCell ref="RAC73:RAH73"/>
    <mergeCell ref="RAJ73:RAO73"/>
    <mergeCell ref="RAQ73:RAV73"/>
    <mergeCell ref="QXR73:QXW73"/>
    <mergeCell ref="QXY73:QYD73"/>
    <mergeCell ref="QYF73:QYK73"/>
    <mergeCell ref="QYM73:QYR73"/>
    <mergeCell ref="QYT73:QYY73"/>
    <mergeCell ref="QZA73:QZF73"/>
    <mergeCell ref="QWB73:QWG73"/>
    <mergeCell ref="QWI73:QWN73"/>
    <mergeCell ref="QWP73:QWU73"/>
    <mergeCell ref="QWW73:QXB73"/>
    <mergeCell ref="QXD73:QXI73"/>
    <mergeCell ref="QXK73:QXP73"/>
    <mergeCell ref="QUL73:QUQ73"/>
    <mergeCell ref="QUS73:QUX73"/>
    <mergeCell ref="QUZ73:QVE73"/>
    <mergeCell ref="QVG73:QVL73"/>
    <mergeCell ref="QVN73:QVS73"/>
    <mergeCell ref="QVU73:QVZ73"/>
    <mergeCell ref="QSV73:QTA73"/>
    <mergeCell ref="QTC73:QTH73"/>
    <mergeCell ref="QTJ73:QTO73"/>
    <mergeCell ref="QTQ73:QTV73"/>
    <mergeCell ref="QTX73:QUC73"/>
    <mergeCell ref="QUE73:QUJ73"/>
    <mergeCell ref="QRF73:QRK73"/>
    <mergeCell ref="QRM73:QRR73"/>
    <mergeCell ref="QRT73:QRY73"/>
    <mergeCell ref="QSA73:QSF73"/>
    <mergeCell ref="QSH73:QSM73"/>
    <mergeCell ref="QSO73:QST73"/>
    <mergeCell ref="QPP73:QPU73"/>
    <mergeCell ref="QPW73:QQB73"/>
    <mergeCell ref="QQD73:QQI73"/>
    <mergeCell ref="QQK73:QQP73"/>
    <mergeCell ref="QQR73:QQW73"/>
    <mergeCell ref="QQY73:QRD73"/>
    <mergeCell ref="QNZ73:QOE73"/>
    <mergeCell ref="QOG73:QOL73"/>
    <mergeCell ref="QON73:QOS73"/>
    <mergeCell ref="QOU73:QOZ73"/>
    <mergeCell ref="QPB73:QPG73"/>
    <mergeCell ref="QPI73:QPN73"/>
    <mergeCell ref="QMJ73:QMO73"/>
    <mergeCell ref="QMQ73:QMV73"/>
    <mergeCell ref="QMX73:QNC73"/>
    <mergeCell ref="QNE73:QNJ73"/>
    <mergeCell ref="QNL73:QNQ73"/>
    <mergeCell ref="QNS73:QNX73"/>
    <mergeCell ref="QKT73:QKY73"/>
    <mergeCell ref="QLA73:QLF73"/>
    <mergeCell ref="QLH73:QLM73"/>
    <mergeCell ref="QLO73:QLT73"/>
    <mergeCell ref="QLV73:QMA73"/>
    <mergeCell ref="QMC73:QMH73"/>
    <mergeCell ref="QJD73:QJI73"/>
    <mergeCell ref="QJK73:QJP73"/>
    <mergeCell ref="QJR73:QJW73"/>
    <mergeCell ref="QJY73:QKD73"/>
    <mergeCell ref="QKF73:QKK73"/>
    <mergeCell ref="QKM73:QKR73"/>
    <mergeCell ref="QHN73:QHS73"/>
    <mergeCell ref="QHU73:QHZ73"/>
    <mergeCell ref="QIB73:QIG73"/>
    <mergeCell ref="QII73:QIN73"/>
    <mergeCell ref="QIP73:QIU73"/>
    <mergeCell ref="QIW73:QJB73"/>
    <mergeCell ref="QFX73:QGC73"/>
    <mergeCell ref="QGE73:QGJ73"/>
    <mergeCell ref="QGL73:QGQ73"/>
    <mergeCell ref="QGS73:QGX73"/>
    <mergeCell ref="QGZ73:QHE73"/>
    <mergeCell ref="QHG73:QHL73"/>
    <mergeCell ref="QEH73:QEM73"/>
    <mergeCell ref="QEO73:QET73"/>
    <mergeCell ref="QEV73:QFA73"/>
    <mergeCell ref="QFC73:QFH73"/>
    <mergeCell ref="QFJ73:QFO73"/>
    <mergeCell ref="QFQ73:QFV73"/>
    <mergeCell ref="QCR73:QCW73"/>
    <mergeCell ref="QCY73:QDD73"/>
    <mergeCell ref="QDF73:QDK73"/>
    <mergeCell ref="QDM73:QDR73"/>
    <mergeCell ref="QDT73:QDY73"/>
    <mergeCell ref="QEA73:QEF73"/>
    <mergeCell ref="QBB73:QBG73"/>
    <mergeCell ref="QBI73:QBN73"/>
    <mergeCell ref="QBP73:QBU73"/>
    <mergeCell ref="QBW73:QCB73"/>
    <mergeCell ref="QCD73:QCI73"/>
    <mergeCell ref="QCK73:QCP73"/>
    <mergeCell ref="PZL73:PZQ73"/>
    <mergeCell ref="PZS73:PZX73"/>
    <mergeCell ref="PZZ73:QAE73"/>
    <mergeCell ref="QAG73:QAL73"/>
    <mergeCell ref="QAN73:QAS73"/>
    <mergeCell ref="QAU73:QAZ73"/>
    <mergeCell ref="PXV73:PYA73"/>
    <mergeCell ref="PYC73:PYH73"/>
    <mergeCell ref="PYJ73:PYO73"/>
    <mergeCell ref="PYQ73:PYV73"/>
    <mergeCell ref="PYX73:PZC73"/>
    <mergeCell ref="PZE73:PZJ73"/>
    <mergeCell ref="PWF73:PWK73"/>
    <mergeCell ref="PWM73:PWR73"/>
    <mergeCell ref="PWT73:PWY73"/>
    <mergeCell ref="PXA73:PXF73"/>
    <mergeCell ref="PXH73:PXM73"/>
    <mergeCell ref="PXO73:PXT73"/>
    <mergeCell ref="PUP73:PUU73"/>
    <mergeCell ref="PUW73:PVB73"/>
    <mergeCell ref="PVD73:PVI73"/>
    <mergeCell ref="PVK73:PVP73"/>
    <mergeCell ref="PVR73:PVW73"/>
    <mergeCell ref="PVY73:PWD73"/>
    <mergeCell ref="PSZ73:PTE73"/>
    <mergeCell ref="PTG73:PTL73"/>
    <mergeCell ref="PTN73:PTS73"/>
    <mergeCell ref="PTU73:PTZ73"/>
    <mergeCell ref="PUB73:PUG73"/>
    <mergeCell ref="PUI73:PUN73"/>
    <mergeCell ref="PRJ73:PRO73"/>
    <mergeCell ref="PRQ73:PRV73"/>
    <mergeCell ref="PRX73:PSC73"/>
    <mergeCell ref="PSE73:PSJ73"/>
    <mergeCell ref="PSL73:PSQ73"/>
    <mergeCell ref="PSS73:PSX73"/>
    <mergeCell ref="PPT73:PPY73"/>
    <mergeCell ref="PQA73:PQF73"/>
    <mergeCell ref="PQH73:PQM73"/>
    <mergeCell ref="PQO73:PQT73"/>
    <mergeCell ref="PQV73:PRA73"/>
    <mergeCell ref="PRC73:PRH73"/>
    <mergeCell ref="POD73:POI73"/>
    <mergeCell ref="POK73:POP73"/>
    <mergeCell ref="POR73:POW73"/>
    <mergeCell ref="POY73:PPD73"/>
    <mergeCell ref="PPF73:PPK73"/>
    <mergeCell ref="PPM73:PPR73"/>
    <mergeCell ref="PMN73:PMS73"/>
    <mergeCell ref="PMU73:PMZ73"/>
    <mergeCell ref="PNB73:PNG73"/>
    <mergeCell ref="PNI73:PNN73"/>
    <mergeCell ref="PNP73:PNU73"/>
    <mergeCell ref="PNW73:POB73"/>
    <mergeCell ref="PKX73:PLC73"/>
    <mergeCell ref="PLE73:PLJ73"/>
    <mergeCell ref="PLL73:PLQ73"/>
    <mergeCell ref="PLS73:PLX73"/>
    <mergeCell ref="PLZ73:PME73"/>
    <mergeCell ref="PMG73:PML73"/>
    <mergeCell ref="PJH73:PJM73"/>
    <mergeCell ref="PJO73:PJT73"/>
    <mergeCell ref="PJV73:PKA73"/>
    <mergeCell ref="PKC73:PKH73"/>
    <mergeCell ref="PKJ73:PKO73"/>
    <mergeCell ref="PKQ73:PKV73"/>
    <mergeCell ref="PHR73:PHW73"/>
    <mergeCell ref="PHY73:PID73"/>
    <mergeCell ref="PIF73:PIK73"/>
    <mergeCell ref="PIM73:PIR73"/>
    <mergeCell ref="PIT73:PIY73"/>
    <mergeCell ref="PJA73:PJF73"/>
    <mergeCell ref="PGB73:PGG73"/>
    <mergeCell ref="PGI73:PGN73"/>
    <mergeCell ref="PGP73:PGU73"/>
    <mergeCell ref="PGW73:PHB73"/>
    <mergeCell ref="PHD73:PHI73"/>
    <mergeCell ref="PHK73:PHP73"/>
    <mergeCell ref="PEL73:PEQ73"/>
    <mergeCell ref="PES73:PEX73"/>
    <mergeCell ref="PEZ73:PFE73"/>
    <mergeCell ref="PFG73:PFL73"/>
    <mergeCell ref="PFN73:PFS73"/>
    <mergeCell ref="PFU73:PFZ73"/>
    <mergeCell ref="PCV73:PDA73"/>
    <mergeCell ref="PDC73:PDH73"/>
    <mergeCell ref="PDJ73:PDO73"/>
    <mergeCell ref="PDQ73:PDV73"/>
    <mergeCell ref="PDX73:PEC73"/>
    <mergeCell ref="PEE73:PEJ73"/>
    <mergeCell ref="PBF73:PBK73"/>
    <mergeCell ref="PBM73:PBR73"/>
    <mergeCell ref="PBT73:PBY73"/>
    <mergeCell ref="PCA73:PCF73"/>
    <mergeCell ref="PCH73:PCM73"/>
    <mergeCell ref="PCO73:PCT73"/>
    <mergeCell ref="OZP73:OZU73"/>
    <mergeCell ref="OZW73:PAB73"/>
    <mergeCell ref="PAD73:PAI73"/>
    <mergeCell ref="PAK73:PAP73"/>
    <mergeCell ref="PAR73:PAW73"/>
    <mergeCell ref="PAY73:PBD73"/>
    <mergeCell ref="OXZ73:OYE73"/>
    <mergeCell ref="OYG73:OYL73"/>
    <mergeCell ref="OYN73:OYS73"/>
    <mergeCell ref="OYU73:OYZ73"/>
    <mergeCell ref="OZB73:OZG73"/>
    <mergeCell ref="OZI73:OZN73"/>
    <mergeCell ref="OWJ73:OWO73"/>
    <mergeCell ref="OWQ73:OWV73"/>
    <mergeCell ref="OWX73:OXC73"/>
    <mergeCell ref="OXE73:OXJ73"/>
    <mergeCell ref="OXL73:OXQ73"/>
    <mergeCell ref="OXS73:OXX73"/>
    <mergeCell ref="OUT73:OUY73"/>
    <mergeCell ref="OVA73:OVF73"/>
    <mergeCell ref="OVH73:OVM73"/>
    <mergeCell ref="OVO73:OVT73"/>
    <mergeCell ref="OVV73:OWA73"/>
    <mergeCell ref="OWC73:OWH73"/>
    <mergeCell ref="OTD73:OTI73"/>
    <mergeCell ref="OTK73:OTP73"/>
    <mergeCell ref="OTR73:OTW73"/>
    <mergeCell ref="OTY73:OUD73"/>
    <mergeCell ref="OUF73:OUK73"/>
    <mergeCell ref="OUM73:OUR73"/>
    <mergeCell ref="ORN73:ORS73"/>
    <mergeCell ref="ORU73:ORZ73"/>
    <mergeCell ref="OSB73:OSG73"/>
    <mergeCell ref="OSI73:OSN73"/>
    <mergeCell ref="OSP73:OSU73"/>
    <mergeCell ref="OSW73:OTB73"/>
    <mergeCell ref="OPX73:OQC73"/>
    <mergeCell ref="OQE73:OQJ73"/>
    <mergeCell ref="OQL73:OQQ73"/>
    <mergeCell ref="OQS73:OQX73"/>
    <mergeCell ref="OQZ73:ORE73"/>
    <mergeCell ref="ORG73:ORL73"/>
    <mergeCell ref="OOH73:OOM73"/>
    <mergeCell ref="OOO73:OOT73"/>
    <mergeCell ref="OOV73:OPA73"/>
    <mergeCell ref="OPC73:OPH73"/>
    <mergeCell ref="OPJ73:OPO73"/>
    <mergeCell ref="OPQ73:OPV73"/>
    <mergeCell ref="OMR73:OMW73"/>
    <mergeCell ref="OMY73:OND73"/>
    <mergeCell ref="ONF73:ONK73"/>
    <mergeCell ref="ONM73:ONR73"/>
    <mergeCell ref="ONT73:ONY73"/>
    <mergeCell ref="OOA73:OOF73"/>
    <mergeCell ref="OLB73:OLG73"/>
    <mergeCell ref="OLI73:OLN73"/>
    <mergeCell ref="OLP73:OLU73"/>
    <mergeCell ref="OLW73:OMB73"/>
    <mergeCell ref="OMD73:OMI73"/>
    <mergeCell ref="OMK73:OMP73"/>
    <mergeCell ref="OJL73:OJQ73"/>
    <mergeCell ref="OJS73:OJX73"/>
    <mergeCell ref="OJZ73:OKE73"/>
    <mergeCell ref="OKG73:OKL73"/>
    <mergeCell ref="OKN73:OKS73"/>
    <mergeCell ref="OKU73:OKZ73"/>
    <mergeCell ref="OHV73:OIA73"/>
    <mergeCell ref="OIC73:OIH73"/>
    <mergeCell ref="OIJ73:OIO73"/>
    <mergeCell ref="OIQ73:OIV73"/>
    <mergeCell ref="OIX73:OJC73"/>
    <mergeCell ref="OJE73:OJJ73"/>
    <mergeCell ref="OGF73:OGK73"/>
    <mergeCell ref="OGM73:OGR73"/>
    <mergeCell ref="OGT73:OGY73"/>
    <mergeCell ref="OHA73:OHF73"/>
    <mergeCell ref="OHH73:OHM73"/>
    <mergeCell ref="OHO73:OHT73"/>
    <mergeCell ref="OEP73:OEU73"/>
    <mergeCell ref="OEW73:OFB73"/>
    <mergeCell ref="OFD73:OFI73"/>
    <mergeCell ref="OFK73:OFP73"/>
    <mergeCell ref="OFR73:OFW73"/>
    <mergeCell ref="OFY73:OGD73"/>
    <mergeCell ref="OCZ73:ODE73"/>
    <mergeCell ref="ODG73:ODL73"/>
    <mergeCell ref="ODN73:ODS73"/>
    <mergeCell ref="ODU73:ODZ73"/>
    <mergeCell ref="OEB73:OEG73"/>
    <mergeCell ref="OEI73:OEN73"/>
    <mergeCell ref="OBJ73:OBO73"/>
    <mergeCell ref="OBQ73:OBV73"/>
    <mergeCell ref="OBX73:OCC73"/>
    <mergeCell ref="OCE73:OCJ73"/>
    <mergeCell ref="OCL73:OCQ73"/>
    <mergeCell ref="OCS73:OCX73"/>
    <mergeCell ref="NZT73:NZY73"/>
    <mergeCell ref="OAA73:OAF73"/>
    <mergeCell ref="OAH73:OAM73"/>
    <mergeCell ref="OAO73:OAT73"/>
    <mergeCell ref="OAV73:OBA73"/>
    <mergeCell ref="OBC73:OBH73"/>
    <mergeCell ref="NYD73:NYI73"/>
    <mergeCell ref="NYK73:NYP73"/>
    <mergeCell ref="NYR73:NYW73"/>
    <mergeCell ref="NYY73:NZD73"/>
    <mergeCell ref="NZF73:NZK73"/>
    <mergeCell ref="NZM73:NZR73"/>
    <mergeCell ref="NWN73:NWS73"/>
    <mergeCell ref="NWU73:NWZ73"/>
    <mergeCell ref="NXB73:NXG73"/>
    <mergeCell ref="NXI73:NXN73"/>
    <mergeCell ref="NXP73:NXU73"/>
    <mergeCell ref="NXW73:NYB73"/>
    <mergeCell ref="NUX73:NVC73"/>
    <mergeCell ref="NVE73:NVJ73"/>
    <mergeCell ref="NVL73:NVQ73"/>
    <mergeCell ref="NVS73:NVX73"/>
    <mergeCell ref="NVZ73:NWE73"/>
    <mergeCell ref="NWG73:NWL73"/>
    <mergeCell ref="NTH73:NTM73"/>
    <mergeCell ref="NTO73:NTT73"/>
    <mergeCell ref="NTV73:NUA73"/>
    <mergeCell ref="NUC73:NUH73"/>
    <mergeCell ref="NUJ73:NUO73"/>
    <mergeCell ref="NUQ73:NUV73"/>
    <mergeCell ref="NRR73:NRW73"/>
    <mergeCell ref="NRY73:NSD73"/>
    <mergeCell ref="NSF73:NSK73"/>
    <mergeCell ref="NSM73:NSR73"/>
    <mergeCell ref="NST73:NSY73"/>
    <mergeCell ref="NTA73:NTF73"/>
    <mergeCell ref="NQB73:NQG73"/>
    <mergeCell ref="NQI73:NQN73"/>
    <mergeCell ref="NQP73:NQU73"/>
    <mergeCell ref="NQW73:NRB73"/>
    <mergeCell ref="NRD73:NRI73"/>
    <mergeCell ref="NRK73:NRP73"/>
    <mergeCell ref="NOL73:NOQ73"/>
    <mergeCell ref="NOS73:NOX73"/>
    <mergeCell ref="NOZ73:NPE73"/>
    <mergeCell ref="NPG73:NPL73"/>
    <mergeCell ref="NPN73:NPS73"/>
    <mergeCell ref="NPU73:NPZ73"/>
    <mergeCell ref="NMV73:NNA73"/>
    <mergeCell ref="NNC73:NNH73"/>
    <mergeCell ref="NNJ73:NNO73"/>
    <mergeCell ref="NNQ73:NNV73"/>
    <mergeCell ref="NNX73:NOC73"/>
    <mergeCell ref="NOE73:NOJ73"/>
    <mergeCell ref="NLF73:NLK73"/>
    <mergeCell ref="NLM73:NLR73"/>
    <mergeCell ref="NLT73:NLY73"/>
    <mergeCell ref="NMA73:NMF73"/>
    <mergeCell ref="NMH73:NMM73"/>
    <mergeCell ref="NMO73:NMT73"/>
    <mergeCell ref="NJP73:NJU73"/>
    <mergeCell ref="NJW73:NKB73"/>
    <mergeCell ref="NKD73:NKI73"/>
    <mergeCell ref="NKK73:NKP73"/>
    <mergeCell ref="NKR73:NKW73"/>
    <mergeCell ref="NKY73:NLD73"/>
    <mergeCell ref="NHZ73:NIE73"/>
    <mergeCell ref="NIG73:NIL73"/>
    <mergeCell ref="NIN73:NIS73"/>
    <mergeCell ref="NIU73:NIZ73"/>
    <mergeCell ref="NJB73:NJG73"/>
    <mergeCell ref="NJI73:NJN73"/>
    <mergeCell ref="NGJ73:NGO73"/>
    <mergeCell ref="NGQ73:NGV73"/>
    <mergeCell ref="NGX73:NHC73"/>
    <mergeCell ref="NHE73:NHJ73"/>
    <mergeCell ref="NHL73:NHQ73"/>
    <mergeCell ref="NHS73:NHX73"/>
    <mergeCell ref="NET73:NEY73"/>
    <mergeCell ref="NFA73:NFF73"/>
    <mergeCell ref="NFH73:NFM73"/>
    <mergeCell ref="NFO73:NFT73"/>
    <mergeCell ref="NFV73:NGA73"/>
    <mergeCell ref="NGC73:NGH73"/>
    <mergeCell ref="NDD73:NDI73"/>
    <mergeCell ref="NDK73:NDP73"/>
    <mergeCell ref="NDR73:NDW73"/>
    <mergeCell ref="NDY73:NED73"/>
    <mergeCell ref="NEF73:NEK73"/>
    <mergeCell ref="NEM73:NER73"/>
    <mergeCell ref="NBN73:NBS73"/>
    <mergeCell ref="NBU73:NBZ73"/>
    <mergeCell ref="NCB73:NCG73"/>
    <mergeCell ref="NCI73:NCN73"/>
    <mergeCell ref="NCP73:NCU73"/>
    <mergeCell ref="NCW73:NDB73"/>
    <mergeCell ref="MZX73:NAC73"/>
    <mergeCell ref="NAE73:NAJ73"/>
    <mergeCell ref="NAL73:NAQ73"/>
    <mergeCell ref="NAS73:NAX73"/>
    <mergeCell ref="NAZ73:NBE73"/>
    <mergeCell ref="NBG73:NBL73"/>
    <mergeCell ref="MYH73:MYM73"/>
    <mergeCell ref="MYO73:MYT73"/>
    <mergeCell ref="MYV73:MZA73"/>
    <mergeCell ref="MZC73:MZH73"/>
    <mergeCell ref="MZJ73:MZO73"/>
    <mergeCell ref="MZQ73:MZV73"/>
    <mergeCell ref="MWR73:MWW73"/>
    <mergeCell ref="MWY73:MXD73"/>
    <mergeCell ref="MXF73:MXK73"/>
    <mergeCell ref="MXM73:MXR73"/>
    <mergeCell ref="MXT73:MXY73"/>
    <mergeCell ref="MYA73:MYF73"/>
    <mergeCell ref="MVB73:MVG73"/>
    <mergeCell ref="MVI73:MVN73"/>
    <mergeCell ref="MVP73:MVU73"/>
    <mergeCell ref="MVW73:MWB73"/>
    <mergeCell ref="MWD73:MWI73"/>
    <mergeCell ref="MWK73:MWP73"/>
    <mergeCell ref="MTL73:MTQ73"/>
    <mergeCell ref="MTS73:MTX73"/>
    <mergeCell ref="MTZ73:MUE73"/>
    <mergeCell ref="MUG73:MUL73"/>
    <mergeCell ref="MUN73:MUS73"/>
    <mergeCell ref="MUU73:MUZ73"/>
    <mergeCell ref="MRV73:MSA73"/>
    <mergeCell ref="MSC73:MSH73"/>
    <mergeCell ref="MSJ73:MSO73"/>
    <mergeCell ref="MSQ73:MSV73"/>
    <mergeCell ref="MSX73:MTC73"/>
    <mergeCell ref="MTE73:MTJ73"/>
    <mergeCell ref="MQF73:MQK73"/>
    <mergeCell ref="MQM73:MQR73"/>
    <mergeCell ref="MQT73:MQY73"/>
    <mergeCell ref="MRA73:MRF73"/>
    <mergeCell ref="MRH73:MRM73"/>
    <mergeCell ref="MRO73:MRT73"/>
    <mergeCell ref="MOP73:MOU73"/>
    <mergeCell ref="MOW73:MPB73"/>
    <mergeCell ref="MPD73:MPI73"/>
    <mergeCell ref="MPK73:MPP73"/>
    <mergeCell ref="MPR73:MPW73"/>
    <mergeCell ref="MPY73:MQD73"/>
    <mergeCell ref="MMZ73:MNE73"/>
    <mergeCell ref="MNG73:MNL73"/>
    <mergeCell ref="MNN73:MNS73"/>
    <mergeCell ref="MNU73:MNZ73"/>
    <mergeCell ref="MOB73:MOG73"/>
    <mergeCell ref="MOI73:MON73"/>
    <mergeCell ref="MLJ73:MLO73"/>
    <mergeCell ref="MLQ73:MLV73"/>
    <mergeCell ref="MLX73:MMC73"/>
    <mergeCell ref="MME73:MMJ73"/>
    <mergeCell ref="MML73:MMQ73"/>
    <mergeCell ref="MMS73:MMX73"/>
    <mergeCell ref="MJT73:MJY73"/>
    <mergeCell ref="MKA73:MKF73"/>
    <mergeCell ref="MKH73:MKM73"/>
    <mergeCell ref="MKO73:MKT73"/>
    <mergeCell ref="MKV73:MLA73"/>
    <mergeCell ref="MLC73:MLH73"/>
    <mergeCell ref="MID73:MII73"/>
    <mergeCell ref="MIK73:MIP73"/>
    <mergeCell ref="MIR73:MIW73"/>
    <mergeCell ref="MIY73:MJD73"/>
    <mergeCell ref="MJF73:MJK73"/>
    <mergeCell ref="MJM73:MJR73"/>
    <mergeCell ref="MGN73:MGS73"/>
    <mergeCell ref="MGU73:MGZ73"/>
    <mergeCell ref="MHB73:MHG73"/>
    <mergeCell ref="MHI73:MHN73"/>
    <mergeCell ref="MHP73:MHU73"/>
    <mergeCell ref="MHW73:MIB73"/>
    <mergeCell ref="MEX73:MFC73"/>
    <mergeCell ref="MFE73:MFJ73"/>
    <mergeCell ref="MFL73:MFQ73"/>
    <mergeCell ref="MFS73:MFX73"/>
    <mergeCell ref="MFZ73:MGE73"/>
    <mergeCell ref="MGG73:MGL73"/>
    <mergeCell ref="MDH73:MDM73"/>
    <mergeCell ref="MDO73:MDT73"/>
    <mergeCell ref="MDV73:MEA73"/>
    <mergeCell ref="MEC73:MEH73"/>
    <mergeCell ref="MEJ73:MEO73"/>
    <mergeCell ref="MEQ73:MEV73"/>
    <mergeCell ref="MBR73:MBW73"/>
    <mergeCell ref="MBY73:MCD73"/>
    <mergeCell ref="MCF73:MCK73"/>
    <mergeCell ref="MCM73:MCR73"/>
    <mergeCell ref="MCT73:MCY73"/>
    <mergeCell ref="MDA73:MDF73"/>
    <mergeCell ref="MAB73:MAG73"/>
    <mergeCell ref="MAI73:MAN73"/>
    <mergeCell ref="MAP73:MAU73"/>
    <mergeCell ref="MAW73:MBB73"/>
    <mergeCell ref="MBD73:MBI73"/>
    <mergeCell ref="MBK73:MBP73"/>
    <mergeCell ref="LYL73:LYQ73"/>
    <mergeCell ref="LYS73:LYX73"/>
    <mergeCell ref="LYZ73:LZE73"/>
    <mergeCell ref="LZG73:LZL73"/>
    <mergeCell ref="LZN73:LZS73"/>
    <mergeCell ref="LZU73:LZZ73"/>
    <mergeCell ref="LWV73:LXA73"/>
    <mergeCell ref="LXC73:LXH73"/>
    <mergeCell ref="LXJ73:LXO73"/>
    <mergeCell ref="LXQ73:LXV73"/>
    <mergeCell ref="LXX73:LYC73"/>
    <mergeCell ref="LYE73:LYJ73"/>
    <mergeCell ref="LVF73:LVK73"/>
    <mergeCell ref="LVM73:LVR73"/>
    <mergeCell ref="LVT73:LVY73"/>
    <mergeCell ref="LWA73:LWF73"/>
    <mergeCell ref="LWH73:LWM73"/>
    <mergeCell ref="LWO73:LWT73"/>
    <mergeCell ref="LTP73:LTU73"/>
    <mergeCell ref="LTW73:LUB73"/>
    <mergeCell ref="LUD73:LUI73"/>
    <mergeCell ref="LUK73:LUP73"/>
    <mergeCell ref="LUR73:LUW73"/>
    <mergeCell ref="LUY73:LVD73"/>
    <mergeCell ref="LRZ73:LSE73"/>
    <mergeCell ref="LSG73:LSL73"/>
    <mergeCell ref="LSN73:LSS73"/>
    <mergeCell ref="LSU73:LSZ73"/>
    <mergeCell ref="LTB73:LTG73"/>
    <mergeCell ref="LTI73:LTN73"/>
    <mergeCell ref="LQJ73:LQO73"/>
    <mergeCell ref="LQQ73:LQV73"/>
    <mergeCell ref="LQX73:LRC73"/>
    <mergeCell ref="LRE73:LRJ73"/>
    <mergeCell ref="LRL73:LRQ73"/>
    <mergeCell ref="LRS73:LRX73"/>
    <mergeCell ref="LOT73:LOY73"/>
    <mergeCell ref="LPA73:LPF73"/>
    <mergeCell ref="LPH73:LPM73"/>
    <mergeCell ref="LPO73:LPT73"/>
    <mergeCell ref="LPV73:LQA73"/>
    <mergeCell ref="LQC73:LQH73"/>
    <mergeCell ref="LND73:LNI73"/>
    <mergeCell ref="LNK73:LNP73"/>
    <mergeCell ref="LNR73:LNW73"/>
    <mergeCell ref="LNY73:LOD73"/>
    <mergeCell ref="LOF73:LOK73"/>
    <mergeCell ref="LOM73:LOR73"/>
    <mergeCell ref="LLN73:LLS73"/>
    <mergeCell ref="LLU73:LLZ73"/>
    <mergeCell ref="LMB73:LMG73"/>
    <mergeCell ref="LMI73:LMN73"/>
    <mergeCell ref="LMP73:LMU73"/>
    <mergeCell ref="LMW73:LNB73"/>
    <mergeCell ref="LJX73:LKC73"/>
    <mergeCell ref="LKE73:LKJ73"/>
    <mergeCell ref="LKL73:LKQ73"/>
    <mergeCell ref="LKS73:LKX73"/>
    <mergeCell ref="LKZ73:LLE73"/>
    <mergeCell ref="LLG73:LLL73"/>
    <mergeCell ref="LIH73:LIM73"/>
    <mergeCell ref="LIO73:LIT73"/>
    <mergeCell ref="LIV73:LJA73"/>
    <mergeCell ref="LJC73:LJH73"/>
    <mergeCell ref="LJJ73:LJO73"/>
    <mergeCell ref="LJQ73:LJV73"/>
    <mergeCell ref="LGR73:LGW73"/>
    <mergeCell ref="LGY73:LHD73"/>
    <mergeCell ref="LHF73:LHK73"/>
    <mergeCell ref="LHM73:LHR73"/>
    <mergeCell ref="LHT73:LHY73"/>
    <mergeCell ref="LIA73:LIF73"/>
    <mergeCell ref="LFB73:LFG73"/>
    <mergeCell ref="LFI73:LFN73"/>
    <mergeCell ref="LFP73:LFU73"/>
    <mergeCell ref="LFW73:LGB73"/>
    <mergeCell ref="LGD73:LGI73"/>
    <mergeCell ref="LGK73:LGP73"/>
    <mergeCell ref="LDL73:LDQ73"/>
    <mergeCell ref="LDS73:LDX73"/>
    <mergeCell ref="LDZ73:LEE73"/>
    <mergeCell ref="LEG73:LEL73"/>
    <mergeCell ref="LEN73:LES73"/>
    <mergeCell ref="LEU73:LEZ73"/>
    <mergeCell ref="LBV73:LCA73"/>
    <mergeCell ref="LCC73:LCH73"/>
    <mergeCell ref="LCJ73:LCO73"/>
    <mergeCell ref="LCQ73:LCV73"/>
    <mergeCell ref="LCX73:LDC73"/>
    <mergeCell ref="LDE73:LDJ73"/>
    <mergeCell ref="LAF73:LAK73"/>
    <mergeCell ref="LAM73:LAR73"/>
    <mergeCell ref="LAT73:LAY73"/>
    <mergeCell ref="LBA73:LBF73"/>
    <mergeCell ref="LBH73:LBM73"/>
    <mergeCell ref="LBO73:LBT73"/>
    <mergeCell ref="KYP73:KYU73"/>
    <mergeCell ref="KYW73:KZB73"/>
    <mergeCell ref="KZD73:KZI73"/>
    <mergeCell ref="KZK73:KZP73"/>
    <mergeCell ref="KZR73:KZW73"/>
    <mergeCell ref="KZY73:LAD73"/>
    <mergeCell ref="KWZ73:KXE73"/>
    <mergeCell ref="KXG73:KXL73"/>
    <mergeCell ref="KXN73:KXS73"/>
    <mergeCell ref="KXU73:KXZ73"/>
    <mergeCell ref="KYB73:KYG73"/>
    <mergeCell ref="KYI73:KYN73"/>
    <mergeCell ref="KVJ73:KVO73"/>
    <mergeCell ref="KVQ73:KVV73"/>
    <mergeCell ref="KVX73:KWC73"/>
    <mergeCell ref="KWE73:KWJ73"/>
    <mergeCell ref="KWL73:KWQ73"/>
    <mergeCell ref="KWS73:KWX73"/>
    <mergeCell ref="KTT73:KTY73"/>
    <mergeCell ref="KUA73:KUF73"/>
    <mergeCell ref="KUH73:KUM73"/>
    <mergeCell ref="KUO73:KUT73"/>
    <mergeCell ref="KUV73:KVA73"/>
    <mergeCell ref="KVC73:KVH73"/>
    <mergeCell ref="KSD73:KSI73"/>
    <mergeCell ref="KSK73:KSP73"/>
    <mergeCell ref="KSR73:KSW73"/>
    <mergeCell ref="KSY73:KTD73"/>
    <mergeCell ref="KTF73:KTK73"/>
    <mergeCell ref="KTM73:KTR73"/>
    <mergeCell ref="KQN73:KQS73"/>
    <mergeCell ref="KQU73:KQZ73"/>
    <mergeCell ref="KRB73:KRG73"/>
    <mergeCell ref="KRI73:KRN73"/>
    <mergeCell ref="KRP73:KRU73"/>
    <mergeCell ref="KRW73:KSB73"/>
    <mergeCell ref="KOX73:KPC73"/>
    <mergeCell ref="KPE73:KPJ73"/>
    <mergeCell ref="KPL73:KPQ73"/>
    <mergeCell ref="KPS73:KPX73"/>
    <mergeCell ref="KPZ73:KQE73"/>
    <mergeCell ref="KQG73:KQL73"/>
    <mergeCell ref="KNH73:KNM73"/>
    <mergeCell ref="KNO73:KNT73"/>
    <mergeCell ref="KNV73:KOA73"/>
    <mergeCell ref="KOC73:KOH73"/>
    <mergeCell ref="KOJ73:KOO73"/>
    <mergeCell ref="KOQ73:KOV73"/>
    <mergeCell ref="KLR73:KLW73"/>
    <mergeCell ref="KLY73:KMD73"/>
    <mergeCell ref="KMF73:KMK73"/>
    <mergeCell ref="KMM73:KMR73"/>
    <mergeCell ref="KMT73:KMY73"/>
    <mergeCell ref="KNA73:KNF73"/>
    <mergeCell ref="KKB73:KKG73"/>
    <mergeCell ref="KKI73:KKN73"/>
    <mergeCell ref="KKP73:KKU73"/>
    <mergeCell ref="KKW73:KLB73"/>
    <mergeCell ref="KLD73:KLI73"/>
    <mergeCell ref="KLK73:KLP73"/>
    <mergeCell ref="KIL73:KIQ73"/>
    <mergeCell ref="KIS73:KIX73"/>
    <mergeCell ref="KIZ73:KJE73"/>
    <mergeCell ref="KJG73:KJL73"/>
    <mergeCell ref="KJN73:KJS73"/>
    <mergeCell ref="KJU73:KJZ73"/>
    <mergeCell ref="KGV73:KHA73"/>
    <mergeCell ref="KHC73:KHH73"/>
    <mergeCell ref="KHJ73:KHO73"/>
    <mergeCell ref="KHQ73:KHV73"/>
    <mergeCell ref="KHX73:KIC73"/>
    <mergeCell ref="KIE73:KIJ73"/>
    <mergeCell ref="KFF73:KFK73"/>
    <mergeCell ref="KFM73:KFR73"/>
    <mergeCell ref="KFT73:KFY73"/>
    <mergeCell ref="KGA73:KGF73"/>
    <mergeCell ref="KGH73:KGM73"/>
    <mergeCell ref="KGO73:KGT73"/>
    <mergeCell ref="KDP73:KDU73"/>
    <mergeCell ref="KDW73:KEB73"/>
    <mergeCell ref="KED73:KEI73"/>
    <mergeCell ref="KEK73:KEP73"/>
    <mergeCell ref="KER73:KEW73"/>
    <mergeCell ref="KEY73:KFD73"/>
    <mergeCell ref="KBZ73:KCE73"/>
    <mergeCell ref="KCG73:KCL73"/>
    <mergeCell ref="KCN73:KCS73"/>
    <mergeCell ref="KCU73:KCZ73"/>
    <mergeCell ref="KDB73:KDG73"/>
    <mergeCell ref="KDI73:KDN73"/>
    <mergeCell ref="KAJ73:KAO73"/>
    <mergeCell ref="KAQ73:KAV73"/>
    <mergeCell ref="KAX73:KBC73"/>
    <mergeCell ref="KBE73:KBJ73"/>
    <mergeCell ref="KBL73:KBQ73"/>
    <mergeCell ref="KBS73:KBX73"/>
    <mergeCell ref="JYT73:JYY73"/>
    <mergeCell ref="JZA73:JZF73"/>
    <mergeCell ref="JZH73:JZM73"/>
    <mergeCell ref="JZO73:JZT73"/>
    <mergeCell ref="JZV73:KAA73"/>
    <mergeCell ref="KAC73:KAH73"/>
    <mergeCell ref="JXD73:JXI73"/>
    <mergeCell ref="JXK73:JXP73"/>
    <mergeCell ref="JXR73:JXW73"/>
    <mergeCell ref="JXY73:JYD73"/>
    <mergeCell ref="JYF73:JYK73"/>
    <mergeCell ref="JYM73:JYR73"/>
    <mergeCell ref="JVN73:JVS73"/>
    <mergeCell ref="JVU73:JVZ73"/>
    <mergeCell ref="JWB73:JWG73"/>
    <mergeCell ref="JWI73:JWN73"/>
    <mergeCell ref="JWP73:JWU73"/>
    <mergeCell ref="JWW73:JXB73"/>
    <mergeCell ref="JTX73:JUC73"/>
    <mergeCell ref="JUE73:JUJ73"/>
    <mergeCell ref="JUL73:JUQ73"/>
    <mergeCell ref="JUS73:JUX73"/>
    <mergeCell ref="JUZ73:JVE73"/>
    <mergeCell ref="JVG73:JVL73"/>
    <mergeCell ref="JSH73:JSM73"/>
    <mergeCell ref="JSO73:JST73"/>
    <mergeCell ref="JSV73:JTA73"/>
    <mergeCell ref="JTC73:JTH73"/>
    <mergeCell ref="JTJ73:JTO73"/>
    <mergeCell ref="JTQ73:JTV73"/>
    <mergeCell ref="JQR73:JQW73"/>
    <mergeCell ref="JQY73:JRD73"/>
    <mergeCell ref="JRF73:JRK73"/>
    <mergeCell ref="JRM73:JRR73"/>
    <mergeCell ref="JRT73:JRY73"/>
    <mergeCell ref="JSA73:JSF73"/>
    <mergeCell ref="JPB73:JPG73"/>
    <mergeCell ref="JPI73:JPN73"/>
    <mergeCell ref="JPP73:JPU73"/>
    <mergeCell ref="JPW73:JQB73"/>
    <mergeCell ref="JQD73:JQI73"/>
    <mergeCell ref="JQK73:JQP73"/>
    <mergeCell ref="JNL73:JNQ73"/>
    <mergeCell ref="JNS73:JNX73"/>
    <mergeCell ref="JNZ73:JOE73"/>
    <mergeCell ref="JOG73:JOL73"/>
    <mergeCell ref="JON73:JOS73"/>
    <mergeCell ref="JOU73:JOZ73"/>
    <mergeCell ref="JLV73:JMA73"/>
    <mergeCell ref="JMC73:JMH73"/>
    <mergeCell ref="JMJ73:JMO73"/>
    <mergeCell ref="JMQ73:JMV73"/>
    <mergeCell ref="JMX73:JNC73"/>
    <mergeCell ref="JNE73:JNJ73"/>
    <mergeCell ref="JKF73:JKK73"/>
    <mergeCell ref="JKM73:JKR73"/>
    <mergeCell ref="JKT73:JKY73"/>
    <mergeCell ref="JLA73:JLF73"/>
    <mergeCell ref="JLH73:JLM73"/>
    <mergeCell ref="JLO73:JLT73"/>
    <mergeCell ref="JIP73:JIU73"/>
    <mergeCell ref="JIW73:JJB73"/>
    <mergeCell ref="JJD73:JJI73"/>
    <mergeCell ref="JJK73:JJP73"/>
    <mergeCell ref="JJR73:JJW73"/>
    <mergeCell ref="JJY73:JKD73"/>
    <mergeCell ref="JGZ73:JHE73"/>
    <mergeCell ref="JHG73:JHL73"/>
    <mergeCell ref="JHN73:JHS73"/>
    <mergeCell ref="JHU73:JHZ73"/>
    <mergeCell ref="JIB73:JIG73"/>
    <mergeCell ref="JII73:JIN73"/>
    <mergeCell ref="JFJ73:JFO73"/>
    <mergeCell ref="JFQ73:JFV73"/>
    <mergeCell ref="JFX73:JGC73"/>
    <mergeCell ref="JGE73:JGJ73"/>
    <mergeCell ref="JGL73:JGQ73"/>
    <mergeCell ref="JGS73:JGX73"/>
    <mergeCell ref="JDT73:JDY73"/>
    <mergeCell ref="JEA73:JEF73"/>
    <mergeCell ref="JEH73:JEM73"/>
    <mergeCell ref="JEO73:JET73"/>
    <mergeCell ref="JEV73:JFA73"/>
    <mergeCell ref="JFC73:JFH73"/>
    <mergeCell ref="JCD73:JCI73"/>
    <mergeCell ref="JCK73:JCP73"/>
    <mergeCell ref="JCR73:JCW73"/>
    <mergeCell ref="JCY73:JDD73"/>
    <mergeCell ref="JDF73:JDK73"/>
    <mergeCell ref="JDM73:JDR73"/>
    <mergeCell ref="JAN73:JAS73"/>
    <mergeCell ref="JAU73:JAZ73"/>
    <mergeCell ref="JBB73:JBG73"/>
    <mergeCell ref="JBI73:JBN73"/>
    <mergeCell ref="JBP73:JBU73"/>
    <mergeCell ref="JBW73:JCB73"/>
    <mergeCell ref="IYX73:IZC73"/>
    <mergeCell ref="IZE73:IZJ73"/>
    <mergeCell ref="IZL73:IZQ73"/>
    <mergeCell ref="IZS73:IZX73"/>
    <mergeCell ref="IZZ73:JAE73"/>
    <mergeCell ref="JAG73:JAL73"/>
    <mergeCell ref="IXH73:IXM73"/>
    <mergeCell ref="IXO73:IXT73"/>
    <mergeCell ref="IXV73:IYA73"/>
    <mergeCell ref="IYC73:IYH73"/>
    <mergeCell ref="IYJ73:IYO73"/>
    <mergeCell ref="IYQ73:IYV73"/>
    <mergeCell ref="IVR73:IVW73"/>
    <mergeCell ref="IVY73:IWD73"/>
    <mergeCell ref="IWF73:IWK73"/>
    <mergeCell ref="IWM73:IWR73"/>
    <mergeCell ref="IWT73:IWY73"/>
    <mergeCell ref="IXA73:IXF73"/>
    <mergeCell ref="IUB73:IUG73"/>
    <mergeCell ref="IUI73:IUN73"/>
    <mergeCell ref="IUP73:IUU73"/>
    <mergeCell ref="IUW73:IVB73"/>
    <mergeCell ref="IVD73:IVI73"/>
    <mergeCell ref="IVK73:IVP73"/>
    <mergeCell ref="ISL73:ISQ73"/>
    <mergeCell ref="ISS73:ISX73"/>
    <mergeCell ref="ISZ73:ITE73"/>
    <mergeCell ref="ITG73:ITL73"/>
    <mergeCell ref="ITN73:ITS73"/>
    <mergeCell ref="ITU73:ITZ73"/>
    <mergeCell ref="IQV73:IRA73"/>
    <mergeCell ref="IRC73:IRH73"/>
    <mergeCell ref="IRJ73:IRO73"/>
    <mergeCell ref="IRQ73:IRV73"/>
    <mergeCell ref="IRX73:ISC73"/>
    <mergeCell ref="ISE73:ISJ73"/>
    <mergeCell ref="IPF73:IPK73"/>
    <mergeCell ref="IPM73:IPR73"/>
    <mergeCell ref="IPT73:IPY73"/>
    <mergeCell ref="IQA73:IQF73"/>
    <mergeCell ref="IQH73:IQM73"/>
    <mergeCell ref="IQO73:IQT73"/>
    <mergeCell ref="INP73:INU73"/>
    <mergeCell ref="INW73:IOB73"/>
    <mergeCell ref="IOD73:IOI73"/>
    <mergeCell ref="IOK73:IOP73"/>
    <mergeCell ref="IOR73:IOW73"/>
    <mergeCell ref="IOY73:IPD73"/>
    <mergeCell ref="ILZ73:IME73"/>
    <mergeCell ref="IMG73:IML73"/>
    <mergeCell ref="IMN73:IMS73"/>
    <mergeCell ref="IMU73:IMZ73"/>
    <mergeCell ref="INB73:ING73"/>
    <mergeCell ref="INI73:INN73"/>
    <mergeCell ref="IKJ73:IKO73"/>
    <mergeCell ref="IKQ73:IKV73"/>
    <mergeCell ref="IKX73:ILC73"/>
    <mergeCell ref="ILE73:ILJ73"/>
    <mergeCell ref="ILL73:ILQ73"/>
    <mergeCell ref="ILS73:ILX73"/>
    <mergeCell ref="IIT73:IIY73"/>
    <mergeCell ref="IJA73:IJF73"/>
    <mergeCell ref="IJH73:IJM73"/>
    <mergeCell ref="IJO73:IJT73"/>
    <mergeCell ref="IJV73:IKA73"/>
    <mergeCell ref="IKC73:IKH73"/>
    <mergeCell ref="IHD73:IHI73"/>
    <mergeCell ref="IHK73:IHP73"/>
    <mergeCell ref="IHR73:IHW73"/>
    <mergeCell ref="IHY73:IID73"/>
    <mergeCell ref="IIF73:IIK73"/>
    <mergeCell ref="IIM73:IIR73"/>
    <mergeCell ref="IFN73:IFS73"/>
    <mergeCell ref="IFU73:IFZ73"/>
    <mergeCell ref="IGB73:IGG73"/>
    <mergeCell ref="IGI73:IGN73"/>
    <mergeCell ref="IGP73:IGU73"/>
    <mergeCell ref="IGW73:IHB73"/>
    <mergeCell ref="IDX73:IEC73"/>
    <mergeCell ref="IEE73:IEJ73"/>
    <mergeCell ref="IEL73:IEQ73"/>
    <mergeCell ref="IES73:IEX73"/>
    <mergeCell ref="IEZ73:IFE73"/>
    <mergeCell ref="IFG73:IFL73"/>
    <mergeCell ref="ICH73:ICM73"/>
    <mergeCell ref="ICO73:ICT73"/>
    <mergeCell ref="ICV73:IDA73"/>
    <mergeCell ref="IDC73:IDH73"/>
    <mergeCell ref="IDJ73:IDO73"/>
    <mergeCell ref="IDQ73:IDV73"/>
    <mergeCell ref="IAR73:IAW73"/>
    <mergeCell ref="IAY73:IBD73"/>
    <mergeCell ref="IBF73:IBK73"/>
    <mergeCell ref="IBM73:IBR73"/>
    <mergeCell ref="IBT73:IBY73"/>
    <mergeCell ref="ICA73:ICF73"/>
    <mergeCell ref="HZB73:HZG73"/>
    <mergeCell ref="HZI73:HZN73"/>
    <mergeCell ref="HZP73:HZU73"/>
    <mergeCell ref="HZW73:IAB73"/>
    <mergeCell ref="IAD73:IAI73"/>
    <mergeCell ref="IAK73:IAP73"/>
    <mergeCell ref="HXL73:HXQ73"/>
    <mergeCell ref="HXS73:HXX73"/>
    <mergeCell ref="HXZ73:HYE73"/>
    <mergeCell ref="HYG73:HYL73"/>
    <mergeCell ref="HYN73:HYS73"/>
    <mergeCell ref="HYU73:HYZ73"/>
    <mergeCell ref="HVV73:HWA73"/>
    <mergeCell ref="HWC73:HWH73"/>
    <mergeCell ref="HWJ73:HWO73"/>
    <mergeCell ref="HWQ73:HWV73"/>
    <mergeCell ref="HWX73:HXC73"/>
    <mergeCell ref="HXE73:HXJ73"/>
    <mergeCell ref="HUF73:HUK73"/>
    <mergeCell ref="HUM73:HUR73"/>
    <mergeCell ref="HUT73:HUY73"/>
    <mergeCell ref="HVA73:HVF73"/>
    <mergeCell ref="HVH73:HVM73"/>
    <mergeCell ref="HVO73:HVT73"/>
    <mergeCell ref="HSP73:HSU73"/>
    <mergeCell ref="HSW73:HTB73"/>
    <mergeCell ref="HTD73:HTI73"/>
    <mergeCell ref="HTK73:HTP73"/>
    <mergeCell ref="HTR73:HTW73"/>
    <mergeCell ref="HTY73:HUD73"/>
    <mergeCell ref="HQZ73:HRE73"/>
    <mergeCell ref="HRG73:HRL73"/>
    <mergeCell ref="HRN73:HRS73"/>
    <mergeCell ref="HRU73:HRZ73"/>
    <mergeCell ref="HSB73:HSG73"/>
    <mergeCell ref="HSI73:HSN73"/>
    <mergeCell ref="HPJ73:HPO73"/>
    <mergeCell ref="HPQ73:HPV73"/>
    <mergeCell ref="HPX73:HQC73"/>
    <mergeCell ref="HQE73:HQJ73"/>
    <mergeCell ref="HQL73:HQQ73"/>
    <mergeCell ref="HQS73:HQX73"/>
    <mergeCell ref="HNT73:HNY73"/>
    <mergeCell ref="HOA73:HOF73"/>
    <mergeCell ref="HOH73:HOM73"/>
    <mergeCell ref="HOO73:HOT73"/>
    <mergeCell ref="HOV73:HPA73"/>
    <mergeCell ref="HPC73:HPH73"/>
    <mergeCell ref="HMD73:HMI73"/>
    <mergeCell ref="HMK73:HMP73"/>
    <mergeCell ref="HMR73:HMW73"/>
    <mergeCell ref="HMY73:HND73"/>
    <mergeCell ref="HNF73:HNK73"/>
    <mergeCell ref="HNM73:HNR73"/>
    <mergeCell ref="HKN73:HKS73"/>
    <mergeCell ref="HKU73:HKZ73"/>
    <mergeCell ref="HLB73:HLG73"/>
    <mergeCell ref="HLI73:HLN73"/>
    <mergeCell ref="HLP73:HLU73"/>
    <mergeCell ref="HLW73:HMB73"/>
    <mergeCell ref="HIX73:HJC73"/>
    <mergeCell ref="HJE73:HJJ73"/>
    <mergeCell ref="HJL73:HJQ73"/>
    <mergeCell ref="HJS73:HJX73"/>
    <mergeCell ref="HJZ73:HKE73"/>
    <mergeCell ref="HKG73:HKL73"/>
    <mergeCell ref="HHH73:HHM73"/>
    <mergeCell ref="HHO73:HHT73"/>
    <mergeCell ref="HHV73:HIA73"/>
    <mergeCell ref="HIC73:HIH73"/>
    <mergeCell ref="HIJ73:HIO73"/>
    <mergeCell ref="HIQ73:HIV73"/>
    <mergeCell ref="HFR73:HFW73"/>
    <mergeCell ref="HFY73:HGD73"/>
    <mergeCell ref="HGF73:HGK73"/>
    <mergeCell ref="HGM73:HGR73"/>
    <mergeCell ref="HGT73:HGY73"/>
    <mergeCell ref="HHA73:HHF73"/>
    <mergeCell ref="HEB73:HEG73"/>
    <mergeCell ref="HEI73:HEN73"/>
    <mergeCell ref="HEP73:HEU73"/>
    <mergeCell ref="HEW73:HFB73"/>
    <mergeCell ref="HFD73:HFI73"/>
    <mergeCell ref="HFK73:HFP73"/>
    <mergeCell ref="HCL73:HCQ73"/>
    <mergeCell ref="HCS73:HCX73"/>
    <mergeCell ref="HCZ73:HDE73"/>
    <mergeCell ref="HDG73:HDL73"/>
    <mergeCell ref="HDN73:HDS73"/>
    <mergeCell ref="HDU73:HDZ73"/>
    <mergeCell ref="HAV73:HBA73"/>
    <mergeCell ref="HBC73:HBH73"/>
    <mergeCell ref="HBJ73:HBO73"/>
    <mergeCell ref="HBQ73:HBV73"/>
    <mergeCell ref="HBX73:HCC73"/>
    <mergeCell ref="HCE73:HCJ73"/>
    <mergeCell ref="GZF73:GZK73"/>
    <mergeCell ref="GZM73:GZR73"/>
    <mergeCell ref="GZT73:GZY73"/>
    <mergeCell ref="HAA73:HAF73"/>
    <mergeCell ref="HAH73:HAM73"/>
    <mergeCell ref="HAO73:HAT73"/>
    <mergeCell ref="GXP73:GXU73"/>
    <mergeCell ref="GXW73:GYB73"/>
    <mergeCell ref="GYD73:GYI73"/>
    <mergeCell ref="GYK73:GYP73"/>
    <mergeCell ref="GYR73:GYW73"/>
    <mergeCell ref="GYY73:GZD73"/>
    <mergeCell ref="GVZ73:GWE73"/>
    <mergeCell ref="GWG73:GWL73"/>
    <mergeCell ref="GWN73:GWS73"/>
    <mergeCell ref="GWU73:GWZ73"/>
    <mergeCell ref="GXB73:GXG73"/>
    <mergeCell ref="GXI73:GXN73"/>
    <mergeCell ref="GUJ73:GUO73"/>
    <mergeCell ref="GUQ73:GUV73"/>
    <mergeCell ref="GUX73:GVC73"/>
    <mergeCell ref="GVE73:GVJ73"/>
    <mergeCell ref="GVL73:GVQ73"/>
    <mergeCell ref="GVS73:GVX73"/>
    <mergeCell ref="GST73:GSY73"/>
    <mergeCell ref="GTA73:GTF73"/>
    <mergeCell ref="GTH73:GTM73"/>
    <mergeCell ref="GTO73:GTT73"/>
    <mergeCell ref="GTV73:GUA73"/>
    <mergeCell ref="GUC73:GUH73"/>
    <mergeCell ref="GRD73:GRI73"/>
    <mergeCell ref="GRK73:GRP73"/>
    <mergeCell ref="GRR73:GRW73"/>
    <mergeCell ref="GRY73:GSD73"/>
    <mergeCell ref="GSF73:GSK73"/>
    <mergeCell ref="GSM73:GSR73"/>
    <mergeCell ref="GPN73:GPS73"/>
    <mergeCell ref="GPU73:GPZ73"/>
    <mergeCell ref="GQB73:GQG73"/>
    <mergeCell ref="GQI73:GQN73"/>
    <mergeCell ref="GQP73:GQU73"/>
    <mergeCell ref="GQW73:GRB73"/>
    <mergeCell ref="GNX73:GOC73"/>
    <mergeCell ref="GOE73:GOJ73"/>
    <mergeCell ref="GOL73:GOQ73"/>
    <mergeCell ref="GOS73:GOX73"/>
    <mergeCell ref="GOZ73:GPE73"/>
    <mergeCell ref="GPG73:GPL73"/>
    <mergeCell ref="GMH73:GMM73"/>
    <mergeCell ref="GMO73:GMT73"/>
    <mergeCell ref="GMV73:GNA73"/>
    <mergeCell ref="GNC73:GNH73"/>
    <mergeCell ref="GNJ73:GNO73"/>
    <mergeCell ref="GNQ73:GNV73"/>
    <mergeCell ref="GKR73:GKW73"/>
    <mergeCell ref="GKY73:GLD73"/>
    <mergeCell ref="GLF73:GLK73"/>
    <mergeCell ref="GLM73:GLR73"/>
    <mergeCell ref="GLT73:GLY73"/>
    <mergeCell ref="GMA73:GMF73"/>
    <mergeCell ref="GJB73:GJG73"/>
    <mergeCell ref="GJI73:GJN73"/>
    <mergeCell ref="GJP73:GJU73"/>
    <mergeCell ref="GJW73:GKB73"/>
    <mergeCell ref="GKD73:GKI73"/>
    <mergeCell ref="GKK73:GKP73"/>
    <mergeCell ref="GHL73:GHQ73"/>
    <mergeCell ref="GHS73:GHX73"/>
    <mergeCell ref="GHZ73:GIE73"/>
    <mergeCell ref="GIG73:GIL73"/>
    <mergeCell ref="GIN73:GIS73"/>
    <mergeCell ref="GIU73:GIZ73"/>
    <mergeCell ref="GFV73:GGA73"/>
    <mergeCell ref="GGC73:GGH73"/>
    <mergeCell ref="GGJ73:GGO73"/>
    <mergeCell ref="GGQ73:GGV73"/>
    <mergeCell ref="GGX73:GHC73"/>
    <mergeCell ref="GHE73:GHJ73"/>
    <mergeCell ref="GEF73:GEK73"/>
    <mergeCell ref="GEM73:GER73"/>
    <mergeCell ref="GET73:GEY73"/>
    <mergeCell ref="GFA73:GFF73"/>
    <mergeCell ref="GFH73:GFM73"/>
    <mergeCell ref="GFO73:GFT73"/>
    <mergeCell ref="GCP73:GCU73"/>
    <mergeCell ref="GCW73:GDB73"/>
    <mergeCell ref="GDD73:GDI73"/>
    <mergeCell ref="GDK73:GDP73"/>
    <mergeCell ref="GDR73:GDW73"/>
    <mergeCell ref="GDY73:GED73"/>
    <mergeCell ref="GAZ73:GBE73"/>
    <mergeCell ref="GBG73:GBL73"/>
    <mergeCell ref="GBN73:GBS73"/>
    <mergeCell ref="GBU73:GBZ73"/>
    <mergeCell ref="GCB73:GCG73"/>
    <mergeCell ref="GCI73:GCN73"/>
    <mergeCell ref="FZJ73:FZO73"/>
    <mergeCell ref="FZQ73:FZV73"/>
    <mergeCell ref="FZX73:GAC73"/>
    <mergeCell ref="GAE73:GAJ73"/>
    <mergeCell ref="GAL73:GAQ73"/>
    <mergeCell ref="GAS73:GAX73"/>
    <mergeCell ref="FXT73:FXY73"/>
    <mergeCell ref="FYA73:FYF73"/>
    <mergeCell ref="FYH73:FYM73"/>
    <mergeCell ref="FYO73:FYT73"/>
    <mergeCell ref="FYV73:FZA73"/>
    <mergeCell ref="FZC73:FZH73"/>
    <mergeCell ref="FWD73:FWI73"/>
    <mergeCell ref="FWK73:FWP73"/>
    <mergeCell ref="FWR73:FWW73"/>
    <mergeCell ref="FWY73:FXD73"/>
    <mergeCell ref="FXF73:FXK73"/>
    <mergeCell ref="FXM73:FXR73"/>
    <mergeCell ref="FUN73:FUS73"/>
    <mergeCell ref="FUU73:FUZ73"/>
    <mergeCell ref="FVB73:FVG73"/>
    <mergeCell ref="FVI73:FVN73"/>
    <mergeCell ref="FVP73:FVU73"/>
    <mergeCell ref="FVW73:FWB73"/>
    <mergeCell ref="FSX73:FTC73"/>
    <mergeCell ref="FTE73:FTJ73"/>
    <mergeCell ref="FTL73:FTQ73"/>
    <mergeCell ref="FTS73:FTX73"/>
    <mergeCell ref="FTZ73:FUE73"/>
    <mergeCell ref="FUG73:FUL73"/>
    <mergeCell ref="FRH73:FRM73"/>
    <mergeCell ref="FRO73:FRT73"/>
    <mergeCell ref="FRV73:FSA73"/>
    <mergeCell ref="FSC73:FSH73"/>
    <mergeCell ref="FSJ73:FSO73"/>
    <mergeCell ref="FSQ73:FSV73"/>
    <mergeCell ref="FPR73:FPW73"/>
    <mergeCell ref="FPY73:FQD73"/>
    <mergeCell ref="FQF73:FQK73"/>
    <mergeCell ref="FQM73:FQR73"/>
    <mergeCell ref="FQT73:FQY73"/>
    <mergeCell ref="FRA73:FRF73"/>
    <mergeCell ref="FOB73:FOG73"/>
    <mergeCell ref="FOI73:FON73"/>
    <mergeCell ref="FOP73:FOU73"/>
    <mergeCell ref="FOW73:FPB73"/>
    <mergeCell ref="FPD73:FPI73"/>
    <mergeCell ref="FPK73:FPP73"/>
    <mergeCell ref="FML73:FMQ73"/>
    <mergeCell ref="FMS73:FMX73"/>
    <mergeCell ref="FMZ73:FNE73"/>
    <mergeCell ref="FNG73:FNL73"/>
    <mergeCell ref="FNN73:FNS73"/>
    <mergeCell ref="FNU73:FNZ73"/>
    <mergeCell ref="FKV73:FLA73"/>
    <mergeCell ref="FLC73:FLH73"/>
    <mergeCell ref="FLJ73:FLO73"/>
    <mergeCell ref="FLQ73:FLV73"/>
    <mergeCell ref="FLX73:FMC73"/>
    <mergeCell ref="FME73:FMJ73"/>
    <mergeCell ref="FJF73:FJK73"/>
    <mergeCell ref="FJM73:FJR73"/>
    <mergeCell ref="FJT73:FJY73"/>
    <mergeCell ref="FKA73:FKF73"/>
    <mergeCell ref="FKH73:FKM73"/>
    <mergeCell ref="FKO73:FKT73"/>
    <mergeCell ref="FHP73:FHU73"/>
    <mergeCell ref="FHW73:FIB73"/>
    <mergeCell ref="FID73:FII73"/>
    <mergeCell ref="FIK73:FIP73"/>
    <mergeCell ref="FIR73:FIW73"/>
    <mergeCell ref="FIY73:FJD73"/>
    <mergeCell ref="FFZ73:FGE73"/>
    <mergeCell ref="FGG73:FGL73"/>
    <mergeCell ref="FGN73:FGS73"/>
    <mergeCell ref="FGU73:FGZ73"/>
    <mergeCell ref="FHB73:FHG73"/>
    <mergeCell ref="FHI73:FHN73"/>
    <mergeCell ref="FEJ73:FEO73"/>
    <mergeCell ref="FEQ73:FEV73"/>
    <mergeCell ref="FEX73:FFC73"/>
    <mergeCell ref="FFE73:FFJ73"/>
    <mergeCell ref="FFL73:FFQ73"/>
    <mergeCell ref="FFS73:FFX73"/>
    <mergeCell ref="FCT73:FCY73"/>
    <mergeCell ref="FDA73:FDF73"/>
    <mergeCell ref="FDH73:FDM73"/>
    <mergeCell ref="FDO73:FDT73"/>
    <mergeCell ref="FDV73:FEA73"/>
    <mergeCell ref="FEC73:FEH73"/>
    <mergeCell ref="FBD73:FBI73"/>
    <mergeCell ref="FBK73:FBP73"/>
    <mergeCell ref="FBR73:FBW73"/>
    <mergeCell ref="FBY73:FCD73"/>
    <mergeCell ref="FCF73:FCK73"/>
    <mergeCell ref="FCM73:FCR73"/>
    <mergeCell ref="EZN73:EZS73"/>
    <mergeCell ref="EZU73:EZZ73"/>
    <mergeCell ref="FAB73:FAG73"/>
    <mergeCell ref="FAI73:FAN73"/>
    <mergeCell ref="FAP73:FAU73"/>
    <mergeCell ref="FAW73:FBB73"/>
    <mergeCell ref="EXX73:EYC73"/>
    <mergeCell ref="EYE73:EYJ73"/>
    <mergeCell ref="EYL73:EYQ73"/>
    <mergeCell ref="EYS73:EYX73"/>
    <mergeCell ref="EYZ73:EZE73"/>
    <mergeCell ref="EZG73:EZL73"/>
    <mergeCell ref="EWH73:EWM73"/>
    <mergeCell ref="EWO73:EWT73"/>
    <mergeCell ref="EWV73:EXA73"/>
    <mergeCell ref="EXC73:EXH73"/>
    <mergeCell ref="EXJ73:EXO73"/>
    <mergeCell ref="EXQ73:EXV73"/>
    <mergeCell ref="EUR73:EUW73"/>
    <mergeCell ref="EUY73:EVD73"/>
    <mergeCell ref="EVF73:EVK73"/>
    <mergeCell ref="EVM73:EVR73"/>
    <mergeCell ref="EVT73:EVY73"/>
    <mergeCell ref="EWA73:EWF73"/>
    <mergeCell ref="ETB73:ETG73"/>
    <mergeCell ref="ETI73:ETN73"/>
    <mergeCell ref="ETP73:ETU73"/>
    <mergeCell ref="ETW73:EUB73"/>
    <mergeCell ref="EUD73:EUI73"/>
    <mergeCell ref="EUK73:EUP73"/>
    <mergeCell ref="ERL73:ERQ73"/>
    <mergeCell ref="ERS73:ERX73"/>
    <mergeCell ref="ERZ73:ESE73"/>
    <mergeCell ref="ESG73:ESL73"/>
    <mergeCell ref="ESN73:ESS73"/>
    <mergeCell ref="ESU73:ESZ73"/>
    <mergeCell ref="EPV73:EQA73"/>
    <mergeCell ref="EQC73:EQH73"/>
    <mergeCell ref="EQJ73:EQO73"/>
    <mergeCell ref="EQQ73:EQV73"/>
    <mergeCell ref="EQX73:ERC73"/>
    <mergeCell ref="ERE73:ERJ73"/>
    <mergeCell ref="EOF73:EOK73"/>
    <mergeCell ref="EOM73:EOR73"/>
    <mergeCell ref="EOT73:EOY73"/>
    <mergeCell ref="EPA73:EPF73"/>
    <mergeCell ref="EPH73:EPM73"/>
    <mergeCell ref="EPO73:EPT73"/>
    <mergeCell ref="EMP73:EMU73"/>
    <mergeCell ref="EMW73:ENB73"/>
    <mergeCell ref="END73:ENI73"/>
    <mergeCell ref="ENK73:ENP73"/>
    <mergeCell ref="ENR73:ENW73"/>
    <mergeCell ref="ENY73:EOD73"/>
    <mergeCell ref="EKZ73:ELE73"/>
    <mergeCell ref="ELG73:ELL73"/>
    <mergeCell ref="ELN73:ELS73"/>
    <mergeCell ref="ELU73:ELZ73"/>
    <mergeCell ref="EMB73:EMG73"/>
    <mergeCell ref="EMI73:EMN73"/>
    <mergeCell ref="EJJ73:EJO73"/>
    <mergeCell ref="EJQ73:EJV73"/>
    <mergeCell ref="EJX73:EKC73"/>
    <mergeCell ref="EKE73:EKJ73"/>
    <mergeCell ref="EKL73:EKQ73"/>
    <mergeCell ref="EKS73:EKX73"/>
    <mergeCell ref="EHT73:EHY73"/>
    <mergeCell ref="EIA73:EIF73"/>
    <mergeCell ref="EIH73:EIM73"/>
    <mergeCell ref="EIO73:EIT73"/>
    <mergeCell ref="EIV73:EJA73"/>
    <mergeCell ref="EJC73:EJH73"/>
    <mergeCell ref="EGD73:EGI73"/>
    <mergeCell ref="EGK73:EGP73"/>
    <mergeCell ref="EGR73:EGW73"/>
    <mergeCell ref="EGY73:EHD73"/>
    <mergeCell ref="EHF73:EHK73"/>
    <mergeCell ref="EHM73:EHR73"/>
    <mergeCell ref="EEN73:EES73"/>
    <mergeCell ref="EEU73:EEZ73"/>
    <mergeCell ref="EFB73:EFG73"/>
    <mergeCell ref="EFI73:EFN73"/>
    <mergeCell ref="EFP73:EFU73"/>
    <mergeCell ref="EFW73:EGB73"/>
    <mergeCell ref="ECX73:EDC73"/>
    <mergeCell ref="EDE73:EDJ73"/>
    <mergeCell ref="EDL73:EDQ73"/>
    <mergeCell ref="EDS73:EDX73"/>
    <mergeCell ref="EDZ73:EEE73"/>
    <mergeCell ref="EEG73:EEL73"/>
    <mergeCell ref="EBH73:EBM73"/>
    <mergeCell ref="EBO73:EBT73"/>
    <mergeCell ref="EBV73:ECA73"/>
    <mergeCell ref="ECC73:ECH73"/>
    <mergeCell ref="ECJ73:ECO73"/>
    <mergeCell ref="ECQ73:ECV73"/>
    <mergeCell ref="DZR73:DZW73"/>
    <mergeCell ref="DZY73:EAD73"/>
    <mergeCell ref="EAF73:EAK73"/>
    <mergeCell ref="EAM73:EAR73"/>
    <mergeCell ref="EAT73:EAY73"/>
    <mergeCell ref="EBA73:EBF73"/>
    <mergeCell ref="DYB73:DYG73"/>
    <mergeCell ref="DYI73:DYN73"/>
    <mergeCell ref="DYP73:DYU73"/>
    <mergeCell ref="DYW73:DZB73"/>
    <mergeCell ref="DZD73:DZI73"/>
    <mergeCell ref="DZK73:DZP73"/>
    <mergeCell ref="DWL73:DWQ73"/>
    <mergeCell ref="DWS73:DWX73"/>
    <mergeCell ref="DWZ73:DXE73"/>
    <mergeCell ref="DXG73:DXL73"/>
    <mergeCell ref="DXN73:DXS73"/>
    <mergeCell ref="DXU73:DXZ73"/>
    <mergeCell ref="DUV73:DVA73"/>
    <mergeCell ref="DVC73:DVH73"/>
    <mergeCell ref="DVJ73:DVO73"/>
    <mergeCell ref="DVQ73:DVV73"/>
    <mergeCell ref="DVX73:DWC73"/>
    <mergeCell ref="DWE73:DWJ73"/>
    <mergeCell ref="DTF73:DTK73"/>
    <mergeCell ref="DTM73:DTR73"/>
    <mergeCell ref="DTT73:DTY73"/>
    <mergeCell ref="DUA73:DUF73"/>
    <mergeCell ref="DUH73:DUM73"/>
    <mergeCell ref="DUO73:DUT73"/>
    <mergeCell ref="DRP73:DRU73"/>
    <mergeCell ref="DRW73:DSB73"/>
    <mergeCell ref="DSD73:DSI73"/>
    <mergeCell ref="DSK73:DSP73"/>
    <mergeCell ref="DSR73:DSW73"/>
    <mergeCell ref="DSY73:DTD73"/>
    <mergeCell ref="DPZ73:DQE73"/>
    <mergeCell ref="DQG73:DQL73"/>
    <mergeCell ref="DQN73:DQS73"/>
    <mergeCell ref="DQU73:DQZ73"/>
    <mergeCell ref="DRB73:DRG73"/>
    <mergeCell ref="DRI73:DRN73"/>
    <mergeCell ref="DOJ73:DOO73"/>
    <mergeCell ref="DOQ73:DOV73"/>
    <mergeCell ref="DOX73:DPC73"/>
    <mergeCell ref="DPE73:DPJ73"/>
    <mergeCell ref="DPL73:DPQ73"/>
    <mergeCell ref="DPS73:DPX73"/>
    <mergeCell ref="DMT73:DMY73"/>
    <mergeCell ref="DNA73:DNF73"/>
    <mergeCell ref="DNH73:DNM73"/>
    <mergeCell ref="DNO73:DNT73"/>
    <mergeCell ref="DNV73:DOA73"/>
    <mergeCell ref="DOC73:DOH73"/>
    <mergeCell ref="DLD73:DLI73"/>
    <mergeCell ref="DLK73:DLP73"/>
    <mergeCell ref="DLR73:DLW73"/>
    <mergeCell ref="DLY73:DMD73"/>
    <mergeCell ref="DMF73:DMK73"/>
    <mergeCell ref="DMM73:DMR73"/>
    <mergeCell ref="DJN73:DJS73"/>
    <mergeCell ref="DJU73:DJZ73"/>
    <mergeCell ref="DKB73:DKG73"/>
    <mergeCell ref="DKI73:DKN73"/>
    <mergeCell ref="DKP73:DKU73"/>
    <mergeCell ref="DKW73:DLB73"/>
    <mergeCell ref="DHX73:DIC73"/>
    <mergeCell ref="DIE73:DIJ73"/>
    <mergeCell ref="DIL73:DIQ73"/>
    <mergeCell ref="DIS73:DIX73"/>
    <mergeCell ref="DIZ73:DJE73"/>
    <mergeCell ref="DJG73:DJL73"/>
    <mergeCell ref="DGH73:DGM73"/>
    <mergeCell ref="DGO73:DGT73"/>
    <mergeCell ref="DGV73:DHA73"/>
    <mergeCell ref="DHC73:DHH73"/>
    <mergeCell ref="DHJ73:DHO73"/>
    <mergeCell ref="DHQ73:DHV73"/>
    <mergeCell ref="DER73:DEW73"/>
    <mergeCell ref="DEY73:DFD73"/>
    <mergeCell ref="DFF73:DFK73"/>
    <mergeCell ref="DFM73:DFR73"/>
    <mergeCell ref="DFT73:DFY73"/>
    <mergeCell ref="DGA73:DGF73"/>
    <mergeCell ref="DDB73:DDG73"/>
    <mergeCell ref="DDI73:DDN73"/>
    <mergeCell ref="DDP73:DDU73"/>
    <mergeCell ref="DDW73:DEB73"/>
    <mergeCell ref="DED73:DEI73"/>
    <mergeCell ref="DEK73:DEP73"/>
    <mergeCell ref="DBL73:DBQ73"/>
    <mergeCell ref="DBS73:DBX73"/>
    <mergeCell ref="DBZ73:DCE73"/>
    <mergeCell ref="DCG73:DCL73"/>
    <mergeCell ref="DCN73:DCS73"/>
    <mergeCell ref="DCU73:DCZ73"/>
    <mergeCell ref="CZV73:DAA73"/>
    <mergeCell ref="DAC73:DAH73"/>
    <mergeCell ref="DAJ73:DAO73"/>
    <mergeCell ref="DAQ73:DAV73"/>
    <mergeCell ref="DAX73:DBC73"/>
    <mergeCell ref="DBE73:DBJ73"/>
    <mergeCell ref="CYF73:CYK73"/>
    <mergeCell ref="CYM73:CYR73"/>
    <mergeCell ref="CYT73:CYY73"/>
    <mergeCell ref="CZA73:CZF73"/>
    <mergeCell ref="CZH73:CZM73"/>
    <mergeCell ref="CZO73:CZT73"/>
    <mergeCell ref="CWP73:CWU73"/>
    <mergeCell ref="CWW73:CXB73"/>
    <mergeCell ref="CXD73:CXI73"/>
    <mergeCell ref="CXK73:CXP73"/>
    <mergeCell ref="CXR73:CXW73"/>
    <mergeCell ref="CXY73:CYD73"/>
    <mergeCell ref="CUZ73:CVE73"/>
    <mergeCell ref="CVG73:CVL73"/>
    <mergeCell ref="CVN73:CVS73"/>
    <mergeCell ref="CVU73:CVZ73"/>
    <mergeCell ref="CWB73:CWG73"/>
    <mergeCell ref="CWI73:CWN73"/>
    <mergeCell ref="CTJ73:CTO73"/>
    <mergeCell ref="CTQ73:CTV73"/>
    <mergeCell ref="CTX73:CUC73"/>
    <mergeCell ref="CUE73:CUJ73"/>
    <mergeCell ref="CUL73:CUQ73"/>
    <mergeCell ref="CUS73:CUX73"/>
    <mergeCell ref="CRT73:CRY73"/>
    <mergeCell ref="CSA73:CSF73"/>
    <mergeCell ref="CSH73:CSM73"/>
    <mergeCell ref="CSO73:CST73"/>
    <mergeCell ref="CSV73:CTA73"/>
    <mergeCell ref="CTC73:CTH73"/>
    <mergeCell ref="CQD73:CQI73"/>
    <mergeCell ref="CQK73:CQP73"/>
    <mergeCell ref="CQR73:CQW73"/>
    <mergeCell ref="CQY73:CRD73"/>
    <mergeCell ref="CRF73:CRK73"/>
    <mergeCell ref="CRM73:CRR73"/>
    <mergeCell ref="CON73:COS73"/>
    <mergeCell ref="COU73:COZ73"/>
    <mergeCell ref="CPB73:CPG73"/>
    <mergeCell ref="CPI73:CPN73"/>
    <mergeCell ref="CPP73:CPU73"/>
    <mergeCell ref="CPW73:CQB73"/>
    <mergeCell ref="CMX73:CNC73"/>
    <mergeCell ref="CNE73:CNJ73"/>
    <mergeCell ref="CNL73:CNQ73"/>
    <mergeCell ref="CNS73:CNX73"/>
    <mergeCell ref="CNZ73:COE73"/>
    <mergeCell ref="COG73:COL73"/>
    <mergeCell ref="CLH73:CLM73"/>
    <mergeCell ref="CLO73:CLT73"/>
    <mergeCell ref="CLV73:CMA73"/>
    <mergeCell ref="CMC73:CMH73"/>
    <mergeCell ref="CMJ73:CMO73"/>
    <mergeCell ref="CMQ73:CMV73"/>
    <mergeCell ref="CJR73:CJW73"/>
    <mergeCell ref="CJY73:CKD73"/>
    <mergeCell ref="CKF73:CKK73"/>
    <mergeCell ref="CKM73:CKR73"/>
    <mergeCell ref="CKT73:CKY73"/>
    <mergeCell ref="CLA73:CLF73"/>
    <mergeCell ref="CIB73:CIG73"/>
    <mergeCell ref="CII73:CIN73"/>
    <mergeCell ref="CIP73:CIU73"/>
    <mergeCell ref="CIW73:CJB73"/>
    <mergeCell ref="CJD73:CJI73"/>
    <mergeCell ref="CJK73:CJP73"/>
    <mergeCell ref="CGL73:CGQ73"/>
    <mergeCell ref="CGS73:CGX73"/>
    <mergeCell ref="CGZ73:CHE73"/>
    <mergeCell ref="CHG73:CHL73"/>
    <mergeCell ref="CHN73:CHS73"/>
    <mergeCell ref="CHU73:CHZ73"/>
    <mergeCell ref="CEV73:CFA73"/>
    <mergeCell ref="CFC73:CFH73"/>
    <mergeCell ref="CFJ73:CFO73"/>
    <mergeCell ref="CFQ73:CFV73"/>
    <mergeCell ref="CFX73:CGC73"/>
    <mergeCell ref="CGE73:CGJ73"/>
    <mergeCell ref="CDF73:CDK73"/>
    <mergeCell ref="CDM73:CDR73"/>
    <mergeCell ref="CDT73:CDY73"/>
    <mergeCell ref="CEA73:CEF73"/>
    <mergeCell ref="CEH73:CEM73"/>
    <mergeCell ref="CEO73:CET73"/>
    <mergeCell ref="CBP73:CBU73"/>
    <mergeCell ref="CBW73:CCB73"/>
    <mergeCell ref="CCD73:CCI73"/>
    <mergeCell ref="CCK73:CCP73"/>
    <mergeCell ref="CCR73:CCW73"/>
    <mergeCell ref="CCY73:CDD73"/>
    <mergeCell ref="BZZ73:CAE73"/>
    <mergeCell ref="CAG73:CAL73"/>
    <mergeCell ref="CAN73:CAS73"/>
    <mergeCell ref="CAU73:CAZ73"/>
    <mergeCell ref="CBB73:CBG73"/>
    <mergeCell ref="CBI73:CBN73"/>
    <mergeCell ref="BYJ73:BYO73"/>
    <mergeCell ref="BYQ73:BYV73"/>
    <mergeCell ref="BYX73:BZC73"/>
    <mergeCell ref="BZE73:BZJ73"/>
    <mergeCell ref="BZL73:BZQ73"/>
    <mergeCell ref="BZS73:BZX73"/>
    <mergeCell ref="BWT73:BWY73"/>
    <mergeCell ref="BXA73:BXF73"/>
    <mergeCell ref="BXH73:BXM73"/>
    <mergeCell ref="BXO73:BXT73"/>
    <mergeCell ref="BXV73:BYA73"/>
    <mergeCell ref="BYC73:BYH73"/>
    <mergeCell ref="BVD73:BVI73"/>
    <mergeCell ref="BVK73:BVP73"/>
    <mergeCell ref="BVR73:BVW73"/>
    <mergeCell ref="BVY73:BWD73"/>
    <mergeCell ref="BWF73:BWK73"/>
    <mergeCell ref="BWM73:BWR73"/>
    <mergeCell ref="BTN73:BTS73"/>
    <mergeCell ref="BTU73:BTZ73"/>
    <mergeCell ref="BUB73:BUG73"/>
    <mergeCell ref="BUI73:BUN73"/>
    <mergeCell ref="BUP73:BUU73"/>
    <mergeCell ref="BUW73:BVB73"/>
    <mergeCell ref="BRX73:BSC73"/>
    <mergeCell ref="BSE73:BSJ73"/>
    <mergeCell ref="BSL73:BSQ73"/>
    <mergeCell ref="BSS73:BSX73"/>
    <mergeCell ref="BSZ73:BTE73"/>
    <mergeCell ref="BTG73:BTL73"/>
    <mergeCell ref="BQH73:BQM73"/>
    <mergeCell ref="BQO73:BQT73"/>
    <mergeCell ref="BQV73:BRA73"/>
    <mergeCell ref="BRC73:BRH73"/>
    <mergeCell ref="BRJ73:BRO73"/>
    <mergeCell ref="BRQ73:BRV73"/>
    <mergeCell ref="BOR73:BOW73"/>
    <mergeCell ref="BOY73:BPD73"/>
    <mergeCell ref="BPF73:BPK73"/>
    <mergeCell ref="BPM73:BPR73"/>
    <mergeCell ref="BPT73:BPY73"/>
    <mergeCell ref="BQA73:BQF73"/>
    <mergeCell ref="BNB73:BNG73"/>
    <mergeCell ref="BNI73:BNN73"/>
    <mergeCell ref="BNP73:BNU73"/>
    <mergeCell ref="BNW73:BOB73"/>
    <mergeCell ref="BOD73:BOI73"/>
    <mergeCell ref="BOK73:BOP73"/>
    <mergeCell ref="BLL73:BLQ73"/>
    <mergeCell ref="BLS73:BLX73"/>
    <mergeCell ref="BLZ73:BME73"/>
    <mergeCell ref="BMG73:BML73"/>
    <mergeCell ref="BMN73:BMS73"/>
    <mergeCell ref="BMU73:BMZ73"/>
    <mergeCell ref="BJV73:BKA73"/>
    <mergeCell ref="BKC73:BKH73"/>
    <mergeCell ref="BKJ73:BKO73"/>
    <mergeCell ref="BKQ73:BKV73"/>
    <mergeCell ref="BKX73:BLC73"/>
    <mergeCell ref="BLE73:BLJ73"/>
    <mergeCell ref="BIF73:BIK73"/>
    <mergeCell ref="BIM73:BIR73"/>
    <mergeCell ref="BIT73:BIY73"/>
    <mergeCell ref="BJA73:BJF73"/>
    <mergeCell ref="BJH73:BJM73"/>
    <mergeCell ref="BJO73:BJT73"/>
    <mergeCell ref="BGP73:BGU73"/>
    <mergeCell ref="BGW73:BHB73"/>
    <mergeCell ref="BHD73:BHI73"/>
    <mergeCell ref="BHK73:BHP73"/>
    <mergeCell ref="BHR73:BHW73"/>
    <mergeCell ref="BHY73:BID73"/>
    <mergeCell ref="BEZ73:BFE73"/>
    <mergeCell ref="BFG73:BFL73"/>
    <mergeCell ref="BFN73:BFS73"/>
    <mergeCell ref="BFU73:BFZ73"/>
    <mergeCell ref="BGB73:BGG73"/>
    <mergeCell ref="BGI73:BGN73"/>
    <mergeCell ref="BDJ73:BDO73"/>
    <mergeCell ref="BDQ73:BDV73"/>
    <mergeCell ref="BDX73:BEC73"/>
    <mergeCell ref="BEE73:BEJ73"/>
    <mergeCell ref="BEL73:BEQ73"/>
    <mergeCell ref="BES73:BEX73"/>
    <mergeCell ref="BBT73:BBY73"/>
    <mergeCell ref="BCA73:BCF73"/>
    <mergeCell ref="BCH73:BCM73"/>
    <mergeCell ref="BCO73:BCT73"/>
    <mergeCell ref="BCV73:BDA73"/>
    <mergeCell ref="BDC73:BDH73"/>
    <mergeCell ref="BAD73:BAI73"/>
    <mergeCell ref="BAK73:BAP73"/>
    <mergeCell ref="BAR73:BAW73"/>
    <mergeCell ref="BAY73:BBD73"/>
    <mergeCell ref="BBF73:BBK73"/>
    <mergeCell ref="BBM73:BBR73"/>
    <mergeCell ref="AYN73:AYS73"/>
    <mergeCell ref="AYU73:AYZ73"/>
    <mergeCell ref="AZB73:AZG73"/>
    <mergeCell ref="AZI73:AZN73"/>
    <mergeCell ref="AZP73:AZU73"/>
    <mergeCell ref="AZW73:BAB73"/>
    <mergeCell ref="AWX73:AXC73"/>
    <mergeCell ref="AXE73:AXJ73"/>
    <mergeCell ref="AXL73:AXQ73"/>
    <mergeCell ref="AXS73:AXX73"/>
    <mergeCell ref="AXZ73:AYE73"/>
    <mergeCell ref="AYG73:AYL73"/>
    <mergeCell ref="AVH73:AVM73"/>
    <mergeCell ref="AVO73:AVT73"/>
    <mergeCell ref="AVV73:AWA73"/>
    <mergeCell ref="AWC73:AWH73"/>
    <mergeCell ref="AWJ73:AWO73"/>
    <mergeCell ref="AWQ73:AWV73"/>
    <mergeCell ref="ATR73:ATW73"/>
    <mergeCell ref="ATY73:AUD73"/>
    <mergeCell ref="AUF73:AUK73"/>
    <mergeCell ref="AUM73:AUR73"/>
    <mergeCell ref="AUT73:AUY73"/>
    <mergeCell ref="AVA73:AVF73"/>
    <mergeCell ref="ASB73:ASG73"/>
    <mergeCell ref="ASI73:ASN73"/>
    <mergeCell ref="ASP73:ASU73"/>
    <mergeCell ref="ASW73:ATB73"/>
    <mergeCell ref="ATD73:ATI73"/>
    <mergeCell ref="ATK73:ATP73"/>
    <mergeCell ref="AQL73:AQQ73"/>
    <mergeCell ref="AQS73:AQX73"/>
    <mergeCell ref="AQZ73:ARE73"/>
    <mergeCell ref="ARG73:ARL73"/>
    <mergeCell ref="ARN73:ARS73"/>
    <mergeCell ref="ARU73:ARZ73"/>
    <mergeCell ref="AOV73:APA73"/>
    <mergeCell ref="APC73:APH73"/>
    <mergeCell ref="APJ73:APO73"/>
    <mergeCell ref="APQ73:APV73"/>
    <mergeCell ref="APX73:AQC73"/>
    <mergeCell ref="AQE73:AQJ73"/>
    <mergeCell ref="ANF73:ANK73"/>
    <mergeCell ref="ANM73:ANR73"/>
    <mergeCell ref="ANT73:ANY73"/>
    <mergeCell ref="AOA73:AOF73"/>
    <mergeCell ref="AOH73:AOM73"/>
    <mergeCell ref="AOO73:AOT73"/>
    <mergeCell ref="ALP73:ALU73"/>
    <mergeCell ref="ALW73:AMB73"/>
    <mergeCell ref="AMD73:AMI73"/>
    <mergeCell ref="AMK73:AMP73"/>
    <mergeCell ref="AMR73:AMW73"/>
    <mergeCell ref="AMY73:AND73"/>
    <mergeCell ref="AJZ73:AKE73"/>
    <mergeCell ref="AKG73:AKL73"/>
    <mergeCell ref="AKN73:AKS73"/>
    <mergeCell ref="AKU73:AKZ73"/>
    <mergeCell ref="ALB73:ALG73"/>
    <mergeCell ref="ALI73:ALN73"/>
    <mergeCell ref="AIJ73:AIO73"/>
    <mergeCell ref="AIQ73:AIV73"/>
    <mergeCell ref="AIX73:AJC73"/>
    <mergeCell ref="AJE73:AJJ73"/>
    <mergeCell ref="AJL73:AJQ73"/>
    <mergeCell ref="AJS73:AJX73"/>
    <mergeCell ref="AGT73:AGY73"/>
    <mergeCell ref="AHA73:AHF73"/>
    <mergeCell ref="AHH73:AHM73"/>
    <mergeCell ref="AHO73:AHT73"/>
    <mergeCell ref="AHV73:AIA73"/>
    <mergeCell ref="AIC73:AIH73"/>
    <mergeCell ref="AFD73:AFI73"/>
    <mergeCell ref="AFK73:AFP73"/>
    <mergeCell ref="AFR73:AFW73"/>
    <mergeCell ref="AFY73:AGD73"/>
    <mergeCell ref="AGF73:AGK73"/>
    <mergeCell ref="AGM73:AGR73"/>
    <mergeCell ref="ADN73:ADS73"/>
    <mergeCell ref="ADU73:ADZ73"/>
    <mergeCell ref="AEB73:AEG73"/>
    <mergeCell ref="AEI73:AEN73"/>
    <mergeCell ref="AEP73:AEU73"/>
    <mergeCell ref="AEW73:AFB73"/>
    <mergeCell ref="ABX73:ACC73"/>
    <mergeCell ref="ACE73:ACJ73"/>
    <mergeCell ref="ACL73:ACQ73"/>
    <mergeCell ref="ACS73:ACX73"/>
    <mergeCell ref="ACZ73:ADE73"/>
    <mergeCell ref="ADG73:ADL73"/>
    <mergeCell ref="AAH73:AAM73"/>
    <mergeCell ref="AAO73:AAT73"/>
    <mergeCell ref="AAV73:ABA73"/>
    <mergeCell ref="ABC73:ABH73"/>
    <mergeCell ref="ABJ73:ABO73"/>
    <mergeCell ref="ABQ73:ABV73"/>
    <mergeCell ref="YR73:YW73"/>
    <mergeCell ref="YY73:ZD73"/>
    <mergeCell ref="ZF73:ZK73"/>
    <mergeCell ref="ZM73:ZR73"/>
    <mergeCell ref="ZT73:ZY73"/>
    <mergeCell ref="AAA73:AAF73"/>
    <mergeCell ref="XB73:XG73"/>
    <mergeCell ref="XI73:XN73"/>
    <mergeCell ref="XP73:XU73"/>
    <mergeCell ref="XW73:YB73"/>
    <mergeCell ref="YD73:YI73"/>
    <mergeCell ref="YK73:YP73"/>
    <mergeCell ref="VL73:VQ73"/>
    <mergeCell ref="VS73:VX73"/>
    <mergeCell ref="VZ73:WE73"/>
    <mergeCell ref="WG73:WL73"/>
    <mergeCell ref="WN73:WS73"/>
    <mergeCell ref="WU73:WZ73"/>
    <mergeCell ref="TV73:UA73"/>
    <mergeCell ref="UC73:UH73"/>
    <mergeCell ref="UJ73:UO73"/>
    <mergeCell ref="UQ73:UV73"/>
    <mergeCell ref="UX73:VC73"/>
    <mergeCell ref="VE73:VJ73"/>
    <mergeCell ref="SF73:SK73"/>
    <mergeCell ref="SM73:SR73"/>
    <mergeCell ref="ST73:SY73"/>
    <mergeCell ref="TA73:TF73"/>
    <mergeCell ref="TH73:TM73"/>
    <mergeCell ref="TO73:TT73"/>
    <mergeCell ref="QP73:QU73"/>
    <mergeCell ref="QW73:RB73"/>
    <mergeCell ref="RD73:RI73"/>
    <mergeCell ref="RK73:RP73"/>
    <mergeCell ref="RR73:RW73"/>
    <mergeCell ref="RY73:SD73"/>
    <mergeCell ref="OZ73:PE73"/>
    <mergeCell ref="PG73:PL73"/>
    <mergeCell ref="PN73:PS73"/>
    <mergeCell ref="PU73:PZ73"/>
    <mergeCell ref="QB73:QG73"/>
    <mergeCell ref="QI73:QN73"/>
    <mergeCell ref="NJ73:NO73"/>
    <mergeCell ref="NQ73:NV73"/>
    <mergeCell ref="NX73:OC73"/>
    <mergeCell ref="OE73:OJ73"/>
    <mergeCell ref="OL73:OQ73"/>
    <mergeCell ref="OS73:OX73"/>
    <mergeCell ref="LT73:LY73"/>
    <mergeCell ref="MA73:MF73"/>
    <mergeCell ref="MH73:MM73"/>
    <mergeCell ref="MO73:MT73"/>
    <mergeCell ref="MV73:NA73"/>
    <mergeCell ref="NC73:NH73"/>
    <mergeCell ref="KD73:KI73"/>
    <mergeCell ref="KK73:KP73"/>
    <mergeCell ref="KR73:KW73"/>
    <mergeCell ref="KY73:LD73"/>
    <mergeCell ref="LF73:LK73"/>
    <mergeCell ref="LM73:LR73"/>
    <mergeCell ref="IN73:IS73"/>
    <mergeCell ref="IU73:IZ73"/>
    <mergeCell ref="JB73:JG73"/>
    <mergeCell ref="JI73:JN73"/>
    <mergeCell ref="JP73:JU73"/>
    <mergeCell ref="JW73:KB73"/>
    <mergeCell ref="GX73:HC73"/>
    <mergeCell ref="HE73:HJ73"/>
    <mergeCell ref="HL73:HQ73"/>
    <mergeCell ref="HS73:HX73"/>
    <mergeCell ref="HZ73:IE73"/>
    <mergeCell ref="IG73:IL73"/>
    <mergeCell ref="FO73:FT73"/>
    <mergeCell ref="FV73:GA73"/>
    <mergeCell ref="GC73:GH73"/>
    <mergeCell ref="GJ73:GO73"/>
    <mergeCell ref="GQ73:GV73"/>
    <mergeCell ref="DR73:DW73"/>
    <mergeCell ref="DY73:ED73"/>
    <mergeCell ref="EF73:EK73"/>
    <mergeCell ref="EM73:ER73"/>
    <mergeCell ref="ET73:EY73"/>
    <mergeCell ref="FA73:FF73"/>
    <mergeCell ref="B39:G39"/>
    <mergeCell ref="B40:G40"/>
    <mergeCell ref="B25:G25"/>
    <mergeCell ref="B29:G29"/>
    <mergeCell ref="B30:G30"/>
    <mergeCell ref="B31:G31"/>
    <mergeCell ref="B34:G34"/>
    <mergeCell ref="CB73:CG73"/>
    <mergeCell ref="CI73:CN73"/>
    <mergeCell ref="CP73:CU73"/>
    <mergeCell ref="CW73:DB73"/>
    <mergeCell ref="DD73:DI73"/>
    <mergeCell ref="DK73:DP73"/>
    <mergeCell ref="AL73:AQ73"/>
    <mergeCell ref="AS73:AX73"/>
    <mergeCell ref="AZ73:BE73"/>
    <mergeCell ref="BG73:BL73"/>
    <mergeCell ref="BN73:BS73"/>
    <mergeCell ref="BU73:BZ73"/>
    <mergeCell ref="J73:O73"/>
    <mergeCell ref="B60:G60"/>
    <mergeCell ref="B2:G2"/>
    <mergeCell ref="B5:G5"/>
    <mergeCell ref="B6:G6"/>
    <mergeCell ref="B7:G7"/>
    <mergeCell ref="B8:G8"/>
    <mergeCell ref="B9:G9"/>
    <mergeCell ref="B16:G16"/>
    <mergeCell ref="B74:G74"/>
    <mergeCell ref="B72:G72"/>
    <mergeCell ref="B73:G73"/>
    <mergeCell ref="B52:G52"/>
    <mergeCell ref="B53:G53"/>
    <mergeCell ref="B54:G54"/>
    <mergeCell ref="B41:G41"/>
    <mergeCell ref="B42:G42"/>
    <mergeCell ref="B43:G43"/>
    <mergeCell ref="FH73:FM73"/>
    <mergeCell ref="ET74:EY74"/>
    <mergeCell ref="FA74:FF74"/>
    <mergeCell ref="FH74:FM74"/>
    <mergeCell ref="B61:G61"/>
    <mergeCell ref="B47:G47"/>
    <mergeCell ref="B48:G48"/>
    <mergeCell ref="B49:G49"/>
    <mergeCell ref="B35:G35"/>
    <mergeCell ref="B36:G36"/>
    <mergeCell ref="B37:G37"/>
    <mergeCell ref="B38:G38"/>
    <mergeCell ref="B44:G44"/>
    <mergeCell ref="B45:G45"/>
    <mergeCell ref="B46:G46"/>
    <mergeCell ref="Q73:V73"/>
    <mergeCell ref="X73:AC73"/>
    <mergeCell ref="AE73:AJ73"/>
    <mergeCell ref="B78:G78"/>
    <mergeCell ref="B79:G79"/>
    <mergeCell ref="B77:G77"/>
    <mergeCell ref="B83:G83"/>
    <mergeCell ref="B20:G20"/>
    <mergeCell ref="B21:G21"/>
    <mergeCell ref="B22:G22"/>
    <mergeCell ref="B23:G23"/>
    <mergeCell ref="B10:G10"/>
    <mergeCell ref="B15:G15"/>
    <mergeCell ref="B11:G11"/>
    <mergeCell ref="B14:G14"/>
    <mergeCell ref="B19:G19"/>
  </mergeCells>
  <phoneticPr fontId="27" type="noConversion"/>
  <hyperlinks>
    <hyperlink ref="D6" r:id="rId1"/>
    <hyperlink ref="D8"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4"/>
  <sheetViews>
    <sheetView showGridLines="0" zoomScale="70" zoomScaleNormal="70" workbookViewId="0">
      <selection activeCell="B1" sqref="B1:J1"/>
    </sheetView>
  </sheetViews>
  <sheetFormatPr baseColWidth="10" defaultColWidth="11.5703125" defaultRowHeight="14.25" x14ac:dyDescent="0.2"/>
  <cols>
    <col min="1" max="1" width="11.5703125" style="101"/>
    <col min="2" max="2" width="89.42578125" style="101" customWidth="1"/>
    <col min="3" max="3" width="50.85546875" style="101" customWidth="1"/>
    <col min="4" max="4" width="38.140625" style="101" customWidth="1"/>
    <col min="5" max="5" width="27.42578125" style="101" customWidth="1"/>
    <col min="6" max="6" width="24.28515625" style="101" customWidth="1"/>
    <col min="7" max="7" width="24.140625" style="101" customWidth="1"/>
    <col min="8" max="8" width="29.28515625" style="101" customWidth="1"/>
    <col min="9" max="9" width="20.5703125" style="101" bestFit="1" customWidth="1"/>
    <col min="10" max="14" width="21.140625" style="101" bestFit="1" customWidth="1"/>
    <col min="15" max="15" width="23.85546875" style="101" customWidth="1"/>
    <col min="16" max="17" width="20.5703125" style="101" bestFit="1" customWidth="1"/>
    <col min="18" max="18" width="19.85546875" style="101" bestFit="1" customWidth="1"/>
    <col min="19" max="21" width="20.5703125" style="101" bestFit="1" customWidth="1"/>
    <col min="22" max="22" width="31.140625" style="101" bestFit="1" customWidth="1"/>
    <col min="23" max="23" width="16.85546875" style="101" bestFit="1" customWidth="1"/>
    <col min="24" max="24" width="15.7109375" style="101" bestFit="1" customWidth="1"/>
    <col min="25" max="16384" width="11.5703125" style="101"/>
  </cols>
  <sheetData>
    <row r="1" spans="1:10" ht="15" x14ac:dyDescent="0.25">
      <c r="B1" s="816" t="s">
        <v>7</v>
      </c>
      <c r="C1" s="816"/>
      <c r="D1" s="816"/>
      <c r="E1" s="816"/>
      <c r="F1" s="816"/>
      <c r="G1" s="816"/>
      <c r="H1" s="816"/>
      <c r="I1" s="816"/>
      <c r="J1" s="816"/>
    </row>
    <row r="2" spans="1:10" ht="15" x14ac:dyDescent="0.25">
      <c r="A2" s="102"/>
      <c r="B2" s="423"/>
      <c r="C2" s="423"/>
      <c r="D2" s="423"/>
      <c r="E2" s="423"/>
      <c r="F2" s="423"/>
      <c r="G2" s="423"/>
      <c r="H2" s="423"/>
      <c r="I2" s="423"/>
      <c r="J2" s="423"/>
    </row>
    <row r="3" spans="1:10" ht="15" x14ac:dyDescent="0.25">
      <c r="B3" s="424" t="s">
        <v>611</v>
      </c>
      <c r="D3" s="425"/>
    </row>
    <row r="4" spans="1:10" ht="15" x14ac:dyDescent="0.25">
      <c r="B4" s="426" t="s">
        <v>612</v>
      </c>
      <c r="D4" s="425"/>
    </row>
    <row r="5" spans="1:10" x14ac:dyDescent="0.2">
      <c r="A5" s="427"/>
      <c r="D5" s="425"/>
    </row>
    <row r="6" spans="1:10" ht="15" x14ac:dyDescent="0.25">
      <c r="B6" s="817" t="s">
        <v>613</v>
      </c>
      <c r="C6" s="817"/>
      <c r="D6" s="817"/>
      <c r="E6" s="817"/>
    </row>
    <row r="7" spans="1:10" ht="15" x14ac:dyDescent="0.25">
      <c r="B7" s="428" t="s">
        <v>614</v>
      </c>
      <c r="C7" s="428" t="s">
        <v>11</v>
      </c>
      <c r="D7" s="429" t="s">
        <v>54</v>
      </c>
      <c r="E7" s="428" t="s">
        <v>55</v>
      </c>
    </row>
    <row r="8" spans="1:10" x14ac:dyDescent="0.2">
      <c r="B8" s="103" t="s">
        <v>615</v>
      </c>
      <c r="C8" s="103" t="s">
        <v>616</v>
      </c>
      <c r="D8" s="430">
        <v>17927128</v>
      </c>
      <c r="E8" s="431" t="s">
        <v>617</v>
      </c>
    </row>
    <row r="9" spans="1:10" x14ac:dyDescent="0.2">
      <c r="B9" s="103" t="s">
        <v>618</v>
      </c>
      <c r="C9" s="103" t="s">
        <v>619</v>
      </c>
      <c r="D9" s="430">
        <v>16197317</v>
      </c>
      <c r="E9" s="431" t="s">
        <v>617</v>
      </c>
    </row>
    <row r="10" spans="1:10" x14ac:dyDescent="0.2">
      <c r="B10" s="103" t="s">
        <v>620</v>
      </c>
      <c r="C10" s="103" t="s">
        <v>621</v>
      </c>
      <c r="D10" s="430">
        <v>14467506</v>
      </c>
      <c r="E10" s="431" t="s">
        <v>617</v>
      </c>
    </row>
    <row r="11" spans="1:10" x14ac:dyDescent="0.2">
      <c r="B11" s="103" t="s">
        <v>622</v>
      </c>
      <c r="C11" s="103" t="s">
        <v>623</v>
      </c>
      <c r="D11" s="430">
        <v>12894949</v>
      </c>
      <c r="E11" s="431" t="s">
        <v>617</v>
      </c>
    </row>
    <row r="12" spans="1:10" x14ac:dyDescent="0.2">
      <c r="B12" s="103" t="s">
        <v>624</v>
      </c>
      <c r="C12" s="103" t="s">
        <v>625</v>
      </c>
      <c r="D12" s="430">
        <v>11479652</v>
      </c>
      <c r="E12" s="431" t="s">
        <v>617</v>
      </c>
    </row>
    <row r="13" spans="1:10" ht="15" thickBot="1" x14ac:dyDescent="0.25">
      <c r="B13" s="103" t="s">
        <v>626</v>
      </c>
      <c r="C13" s="103" t="s">
        <v>627</v>
      </c>
      <c r="D13" s="430">
        <v>10850628</v>
      </c>
      <c r="E13" s="431" t="s">
        <v>617</v>
      </c>
      <c r="G13" s="432"/>
    </row>
    <row r="14" spans="1:10" x14ac:dyDescent="0.2">
      <c r="B14" s="103" t="s">
        <v>628</v>
      </c>
      <c r="C14" s="103" t="s">
        <v>629</v>
      </c>
      <c r="D14" s="430">
        <v>10378862</v>
      </c>
      <c r="E14" s="431" t="s">
        <v>617</v>
      </c>
      <c r="G14" s="433" t="s">
        <v>630</v>
      </c>
      <c r="H14" s="434"/>
      <c r="I14" s="434"/>
      <c r="J14" s="435"/>
    </row>
    <row r="15" spans="1:10" x14ac:dyDescent="0.2">
      <c r="B15" s="103" t="s">
        <v>631</v>
      </c>
      <c r="C15" s="103" t="s">
        <v>632</v>
      </c>
      <c r="D15" s="430">
        <v>9907096</v>
      </c>
      <c r="E15" s="431" t="s">
        <v>617</v>
      </c>
      <c r="G15" s="436"/>
      <c r="J15" s="437"/>
    </row>
    <row r="16" spans="1:10" x14ac:dyDescent="0.2">
      <c r="B16" s="103" t="s">
        <v>633</v>
      </c>
      <c r="C16" s="103" t="s">
        <v>634</v>
      </c>
      <c r="D16" s="430">
        <v>8963563</v>
      </c>
      <c r="E16" s="431" t="s">
        <v>617</v>
      </c>
      <c r="G16" s="438" t="s">
        <v>635</v>
      </c>
      <c r="H16" s="101" t="s">
        <v>636</v>
      </c>
      <c r="J16" s="437"/>
    </row>
    <row r="17" spans="2:10" x14ac:dyDescent="0.2">
      <c r="B17" s="103" t="s">
        <v>637</v>
      </c>
      <c r="C17" s="103" t="s">
        <v>638</v>
      </c>
      <c r="D17" s="430">
        <v>7862772</v>
      </c>
      <c r="E17" s="431" t="s">
        <v>617</v>
      </c>
      <c r="G17" s="438" t="s">
        <v>639</v>
      </c>
      <c r="H17" s="101" t="s">
        <v>640</v>
      </c>
      <c r="J17" s="437"/>
    </row>
    <row r="18" spans="2:10" x14ac:dyDescent="0.2">
      <c r="B18" s="103" t="s">
        <v>641</v>
      </c>
      <c r="C18" s="103" t="s">
        <v>642</v>
      </c>
      <c r="D18" s="430">
        <v>7233751</v>
      </c>
      <c r="E18" s="431" t="s">
        <v>617</v>
      </c>
      <c r="G18" s="438" t="s">
        <v>643</v>
      </c>
      <c r="H18" s="101" t="s">
        <v>644</v>
      </c>
      <c r="J18" s="437"/>
    </row>
    <row r="19" spans="2:10" x14ac:dyDescent="0.2">
      <c r="B19" s="103" t="s">
        <v>645</v>
      </c>
      <c r="C19" s="103" t="s">
        <v>646</v>
      </c>
      <c r="D19" s="430">
        <v>6604729</v>
      </c>
      <c r="E19" s="431" t="s">
        <v>617</v>
      </c>
      <c r="G19" s="438" t="s">
        <v>647</v>
      </c>
      <c r="H19" s="101" t="s">
        <v>648</v>
      </c>
      <c r="J19" s="437"/>
    </row>
    <row r="20" spans="2:10" x14ac:dyDescent="0.2">
      <c r="B20" s="103" t="s">
        <v>649</v>
      </c>
      <c r="C20" s="103" t="s">
        <v>650</v>
      </c>
      <c r="D20" s="430">
        <v>5661197</v>
      </c>
      <c r="E20" s="431" t="s">
        <v>617</v>
      </c>
      <c r="G20" s="438" t="s">
        <v>651</v>
      </c>
      <c r="H20" s="101" t="s">
        <v>652</v>
      </c>
      <c r="J20" s="437"/>
    </row>
    <row r="21" spans="2:10" x14ac:dyDescent="0.2">
      <c r="B21" s="103" t="s">
        <v>653</v>
      </c>
      <c r="C21" s="103" t="s">
        <v>654</v>
      </c>
      <c r="D21" s="430">
        <v>5032173</v>
      </c>
      <c r="E21" s="431" t="s">
        <v>617</v>
      </c>
      <c r="G21" s="438" t="s">
        <v>655</v>
      </c>
      <c r="H21" s="101" t="s">
        <v>656</v>
      </c>
      <c r="J21" s="437"/>
    </row>
    <row r="22" spans="2:10" x14ac:dyDescent="0.2">
      <c r="B22" s="103" t="s">
        <v>657</v>
      </c>
      <c r="C22" s="103" t="s">
        <v>658</v>
      </c>
      <c r="D22" s="430">
        <v>4560407</v>
      </c>
      <c r="E22" s="431" t="s">
        <v>617</v>
      </c>
      <c r="G22" s="438" t="s">
        <v>659</v>
      </c>
      <c r="H22" s="101" t="s">
        <v>660</v>
      </c>
      <c r="J22" s="437"/>
    </row>
    <row r="23" spans="2:10" ht="15" thickBot="1" x14ac:dyDescent="0.25">
      <c r="B23" s="103" t="s">
        <v>661</v>
      </c>
      <c r="C23" s="103" t="s">
        <v>662</v>
      </c>
      <c r="D23" s="430">
        <v>3931384</v>
      </c>
      <c r="E23" s="431" t="s">
        <v>617</v>
      </c>
      <c r="G23" s="439"/>
      <c r="H23" s="440"/>
      <c r="I23" s="440"/>
      <c r="J23" s="441"/>
    </row>
    <row r="24" spans="2:10" x14ac:dyDescent="0.2">
      <c r="B24" s="103" t="s">
        <v>663</v>
      </c>
      <c r="C24" s="103" t="s">
        <v>664</v>
      </c>
      <c r="D24" s="430">
        <v>3538246</v>
      </c>
      <c r="E24" s="431" t="s">
        <v>617</v>
      </c>
    </row>
    <row r="25" spans="2:10" x14ac:dyDescent="0.2">
      <c r="B25" s="103" t="s">
        <v>665</v>
      </c>
      <c r="C25" s="103" t="s">
        <v>666</v>
      </c>
      <c r="D25" s="430">
        <v>3145107</v>
      </c>
      <c r="E25" s="431" t="s">
        <v>617</v>
      </c>
    </row>
    <row r="26" spans="2:10" x14ac:dyDescent="0.2">
      <c r="B26" s="103" t="s">
        <v>667</v>
      </c>
      <c r="C26" s="103" t="s">
        <v>668</v>
      </c>
      <c r="D26" s="430">
        <v>2830596</v>
      </c>
      <c r="E26" s="431" t="s">
        <v>617</v>
      </c>
    </row>
    <row r="27" spans="2:10" x14ac:dyDescent="0.2">
      <c r="B27" s="103" t="s">
        <v>669</v>
      </c>
      <c r="C27" s="103" t="s">
        <v>670</v>
      </c>
      <c r="D27" s="430">
        <v>2516084</v>
      </c>
      <c r="E27" s="431" t="s">
        <v>617</v>
      </c>
    </row>
    <row r="28" spans="2:10" x14ac:dyDescent="0.2">
      <c r="B28" s="103" t="s">
        <v>671</v>
      </c>
      <c r="C28" s="103" t="s">
        <v>672</v>
      </c>
      <c r="D28" s="430">
        <v>2201574</v>
      </c>
      <c r="E28" s="431" t="s">
        <v>617</v>
      </c>
    </row>
    <row r="29" spans="2:10" x14ac:dyDescent="0.2">
      <c r="B29" s="103" t="s">
        <v>673</v>
      </c>
      <c r="C29" s="103" t="s">
        <v>674</v>
      </c>
      <c r="D29" s="430">
        <v>1887064</v>
      </c>
      <c r="E29" s="431" t="s">
        <v>617</v>
      </c>
    </row>
    <row r="30" spans="2:10" x14ac:dyDescent="0.2">
      <c r="B30" s="103" t="s">
        <v>675</v>
      </c>
      <c r="C30" s="103" t="s">
        <v>676</v>
      </c>
      <c r="D30" s="430">
        <v>1572552</v>
      </c>
      <c r="E30" s="431" t="s">
        <v>617</v>
      </c>
    </row>
    <row r="31" spans="2:10" x14ac:dyDescent="0.2">
      <c r="B31" s="103" t="s">
        <v>677</v>
      </c>
      <c r="C31" s="103" t="s">
        <v>678</v>
      </c>
      <c r="D31" s="430">
        <v>1258039</v>
      </c>
      <c r="E31" s="431" t="s">
        <v>617</v>
      </c>
    </row>
    <row r="32" spans="2:10" x14ac:dyDescent="0.2">
      <c r="B32" s="101" t="s">
        <v>679</v>
      </c>
      <c r="D32" s="425"/>
    </row>
    <row r="33" spans="2:5" ht="15" x14ac:dyDescent="0.25">
      <c r="B33" s="442" t="s">
        <v>680</v>
      </c>
      <c r="D33" s="425"/>
    </row>
    <row r="34" spans="2:5" x14ac:dyDescent="0.2">
      <c r="B34" s="101" t="s">
        <v>681</v>
      </c>
    </row>
    <row r="37" spans="2:5" ht="15" x14ac:dyDescent="0.25">
      <c r="B37" s="424" t="s">
        <v>682</v>
      </c>
    </row>
    <row r="38" spans="2:5" x14ac:dyDescent="0.2">
      <c r="D38" s="40"/>
    </row>
    <row r="39" spans="2:5" ht="15" x14ac:dyDescent="0.25">
      <c r="B39" s="426" t="s">
        <v>683</v>
      </c>
      <c r="D39" s="40"/>
    </row>
    <row r="40" spans="2:5" ht="15" x14ac:dyDescent="0.25">
      <c r="B40" s="443" t="s">
        <v>684</v>
      </c>
      <c r="C40" s="443"/>
      <c r="D40" s="443"/>
      <c r="E40" s="443"/>
    </row>
    <row r="41" spans="2:5" ht="15" x14ac:dyDescent="0.25">
      <c r="B41" s="428" t="s">
        <v>614</v>
      </c>
      <c r="C41" s="444" t="s">
        <v>11</v>
      </c>
      <c r="D41" s="445" t="s">
        <v>685</v>
      </c>
      <c r="E41" s="446" t="s">
        <v>54</v>
      </c>
    </row>
    <row r="42" spans="2:5" x14ac:dyDescent="0.2">
      <c r="B42" s="103" t="s">
        <v>615</v>
      </c>
      <c r="C42" s="103" t="s">
        <v>686</v>
      </c>
      <c r="D42" s="447">
        <v>17927128</v>
      </c>
      <c r="E42" s="448">
        <f>D81</f>
        <v>845463</v>
      </c>
    </row>
    <row r="43" spans="2:5" x14ac:dyDescent="0.2">
      <c r="B43" s="103" t="s">
        <v>618</v>
      </c>
      <c r="C43" s="103" t="s">
        <v>687</v>
      </c>
      <c r="D43" s="447">
        <v>16197317</v>
      </c>
      <c r="E43" s="448">
        <f>D81</f>
        <v>845463</v>
      </c>
    </row>
    <row r="44" spans="2:5" x14ac:dyDescent="0.2">
      <c r="B44" s="103" t="s">
        <v>620</v>
      </c>
      <c r="C44" s="103" t="s">
        <v>688</v>
      </c>
      <c r="D44" s="447">
        <v>14467506</v>
      </c>
      <c r="E44" s="448">
        <f>D80</f>
        <v>717923</v>
      </c>
    </row>
    <row r="45" spans="2:5" x14ac:dyDescent="0.2">
      <c r="B45" s="103" t="s">
        <v>622</v>
      </c>
      <c r="C45" s="103" t="s">
        <v>689</v>
      </c>
      <c r="D45" s="447">
        <v>12894949</v>
      </c>
      <c r="E45" s="448">
        <f>D80</f>
        <v>717923</v>
      </c>
    </row>
    <row r="46" spans="2:5" x14ac:dyDescent="0.2">
      <c r="B46" s="103" t="s">
        <v>624</v>
      </c>
      <c r="C46" s="103" t="s">
        <v>690</v>
      </c>
      <c r="D46" s="447">
        <v>11479652</v>
      </c>
      <c r="E46" s="448">
        <f>D79</f>
        <v>593522</v>
      </c>
    </row>
    <row r="47" spans="2:5" x14ac:dyDescent="0.2">
      <c r="B47" s="103" t="s">
        <v>626</v>
      </c>
      <c r="C47" s="103" t="s">
        <v>691</v>
      </c>
      <c r="D47" s="447">
        <v>10850628</v>
      </c>
      <c r="E47" s="448">
        <f>D79</f>
        <v>593522</v>
      </c>
    </row>
    <row r="48" spans="2:5" x14ac:dyDescent="0.2">
      <c r="B48" s="103" t="s">
        <v>628</v>
      </c>
      <c r="C48" s="103" t="s">
        <v>692</v>
      </c>
      <c r="D48" s="447">
        <v>10378862</v>
      </c>
      <c r="E48" s="448">
        <f>D79</f>
        <v>593522</v>
      </c>
    </row>
    <row r="49" spans="2:5" x14ac:dyDescent="0.2">
      <c r="B49" s="103" t="s">
        <v>631</v>
      </c>
      <c r="C49" s="103" t="s">
        <v>693</v>
      </c>
      <c r="D49" s="447">
        <v>9907096</v>
      </c>
      <c r="E49" s="448">
        <f>D79</f>
        <v>593522</v>
      </c>
    </row>
    <row r="50" spans="2:5" x14ac:dyDescent="0.2">
      <c r="B50" s="103" t="s">
        <v>633</v>
      </c>
      <c r="C50" s="103" t="s">
        <v>694</v>
      </c>
      <c r="D50" s="447">
        <v>8963563</v>
      </c>
      <c r="E50" s="448">
        <f>D78</f>
        <v>456561</v>
      </c>
    </row>
    <row r="51" spans="2:5" x14ac:dyDescent="0.2">
      <c r="B51" s="103" t="s">
        <v>637</v>
      </c>
      <c r="C51" s="103" t="s">
        <v>695</v>
      </c>
      <c r="D51" s="447">
        <v>7862772</v>
      </c>
      <c r="E51" s="448">
        <f>D78</f>
        <v>456561</v>
      </c>
    </row>
    <row r="52" spans="2:5" x14ac:dyDescent="0.2">
      <c r="B52" s="103" t="s">
        <v>641</v>
      </c>
      <c r="C52" s="103" t="s">
        <v>696</v>
      </c>
      <c r="D52" s="447">
        <v>7233751</v>
      </c>
      <c r="E52" s="448">
        <f>D78</f>
        <v>456561</v>
      </c>
    </row>
    <row r="53" spans="2:5" x14ac:dyDescent="0.2">
      <c r="B53" s="103" t="s">
        <v>645</v>
      </c>
      <c r="C53" s="103" t="s">
        <v>697</v>
      </c>
      <c r="D53" s="447">
        <v>6604729</v>
      </c>
      <c r="E53" s="448">
        <f>D77</f>
        <v>338443</v>
      </c>
    </row>
    <row r="54" spans="2:5" x14ac:dyDescent="0.2">
      <c r="B54" s="103" t="s">
        <v>649</v>
      </c>
      <c r="C54" s="103" t="s">
        <v>698</v>
      </c>
      <c r="D54" s="447">
        <v>5661197</v>
      </c>
      <c r="E54" s="448">
        <f>D76</f>
        <v>278634</v>
      </c>
    </row>
    <row r="55" spans="2:5" x14ac:dyDescent="0.2">
      <c r="B55" s="103" t="s">
        <v>653</v>
      </c>
      <c r="C55" s="103" t="s">
        <v>699</v>
      </c>
      <c r="D55" s="447">
        <v>5032173</v>
      </c>
      <c r="E55" s="448">
        <f>D76</f>
        <v>278634</v>
      </c>
    </row>
    <row r="56" spans="2:5" x14ac:dyDescent="0.2">
      <c r="B56" s="103" t="s">
        <v>657</v>
      </c>
      <c r="C56" s="103" t="s">
        <v>700</v>
      </c>
      <c r="D56" s="447">
        <v>4560407</v>
      </c>
      <c r="E56" s="448">
        <f>D76</f>
        <v>278634</v>
      </c>
    </row>
    <row r="57" spans="2:5" x14ac:dyDescent="0.2">
      <c r="B57" s="103" t="s">
        <v>661</v>
      </c>
      <c r="C57" s="103" t="s">
        <v>701</v>
      </c>
      <c r="D57" s="447">
        <v>3931384</v>
      </c>
      <c r="E57" s="448">
        <f>D75</f>
        <v>246864</v>
      </c>
    </row>
    <row r="58" spans="2:5" x14ac:dyDescent="0.2">
      <c r="B58" s="103" t="s">
        <v>663</v>
      </c>
      <c r="C58" s="103" t="s">
        <v>702</v>
      </c>
      <c r="D58" s="447">
        <v>3538246</v>
      </c>
      <c r="E58" s="448">
        <f>D75</f>
        <v>246864</v>
      </c>
    </row>
    <row r="59" spans="2:5" x14ac:dyDescent="0.2">
      <c r="B59" s="103" t="s">
        <v>665</v>
      </c>
      <c r="C59" s="103" t="s">
        <v>666</v>
      </c>
      <c r="D59" s="447">
        <v>3145107</v>
      </c>
      <c r="E59" s="448">
        <f>D74</f>
        <v>214980</v>
      </c>
    </row>
    <row r="60" spans="2:5" x14ac:dyDescent="0.2">
      <c r="B60" s="103" t="s">
        <v>667</v>
      </c>
      <c r="C60" s="103" t="s">
        <v>668</v>
      </c>
      <c r="D60" s="447">
        <v>2830596</v>
      </c>
      <c r="E60" s="448">
        <f>D74</f>
        <v>214980</v>
      </c>
    </row>
    <row r="61" spans="2:5" x14ac:dyDescent="0.2">
      <c r="B61" s="103" t="s">
        <v>669</v>
      </c>
      <c r="C61" s="103" t="s">
        <v>670</v>
      </c>
      <c r="D61" s="447">
        <v>2516084</v>
      </c>
      <c r="E61" s="448">
        <f>D73</f>
        <v>184753</v>
      </c>
    </row>
    <row r="62" spans="2:5" x14ac:dyDescent="0.2">
      <c r="B62" s="103" t="s">
        <v>671</v>
      </c>
      <c r="C62" s="103" t="s">
        <v>672</v>
      </c>
      <c r="D62" s="447">
        <v>2201574</v>
      </c>
      <c r="E62" s="448">
        <f>D73</f>
        <v>184753</v>
      </c>
    </row>
    <row r="63" spans="2:5" x14ac:dyDescent="0.2">
      <c r="B63" s="103" t="s">
        <v>673</v>
      </c>
      <c r="C63" s="103" t="s">
        <v>674</v>
      </c>
      <c r="D63" s="447">
        <v>1887064</v>
      </c>
      <c r="E63" s="448">
        <f>D72</f>
        <v>152268</v>
      </c>
    </row>
    <row r="64" spans="2:5" x14ac:dyDescent="0.2">
      <c r="B64" s="103" t="s">
        <v>675</v>
      </c>
      <c r="C64" s="103" t="s">
        <v>676</v>
      </c>
      <c r="D64" s="447">
        <v>1572552</v>
      </c>
      <c r="E64" s="448">
        <f>D72</f>
        <v>152268</v>
      </c>
    </row>
    <row r="65" spans="2:5" x14ac:dyDescent="0.2">
      <c r="B65" s="103" t="s">
        <v>677</v>
      </c>
      <c r="C65" s="103" t="s">
        <v>678</v>
      </c>
      <c r="D65" s="447">
        <v>1258039</v>
      </c>
      <c r="E65" s="448">
        <f>D72</f>
        <v>152268</v>
      </c>
    </row>
    <row r="66" spans="2:5" x14ac:dyDescent="0.2">
      <c r="B66" s="101" t="s">
        <v>703</v>
      </c>
      <c r="D66" s="449"/>
      <c r="E66" s="450"/>
    </row>
    <row r="68" spans="2:5" ht="15" x14ac:dyDescent="0.25">
      <c r="B68" s="426" t="s">
        <v>704</v>
      </c>
      <c r="D68" s="40"/>
    </row>
    <row r="69" spans="2:5" ht="14.1" customHeight="1" x14ac:dyDescent="0.2">
      <c r="B69" s="818" t="s">
        <v>705</v>
      </c>
      <c r="C69" s="819"/>
      <c r="D69" s="820"/>
    </row>
    <row r="70" spans="2:5" ht="27.95" customHeight="1" x14ac:dyDescent="0.2">
      <c r="B70" s="451" t="s">
        <v>706</v>
      </c>
      <c r="C70" s="452" t="s">
        <v>707</v>
      </c>
      <c r="D70" s="453" t="s">
        <v>708</v>
      </c>
    </row>
    <row r="71" spans="2:5" x14ac:dyDescent="0.2">
      <c r="B71" s="454" t="s">
        <v>709</v>
      </c>
      <c r="C71" s="821" t="s">
        <v>710</v>
      </c>
      <c r="D71" s="447">
        <v>111414</v>
      </c>
    </row>
    <row r="72" spans="2:5" x14ac:dyDescent="0.2">
      <c r="B72" s="454" t="s">
        <v>711</v>
      </c>
      <c r="C72" s="822"/>
      <c r="D72" s="447">
        <v>152268</v>
      </c>
    </row>
    <row r="73" spans="2:5" x14ac:dyDescent="0.2">
      <c r="B73" s="454" t="s">
        <v>712</v>
      </c>
      <c r="C73" s="822"/>
      <c r="D73" s="447">
        <v>184753</v>
      </c>
    </row>
    <row r="74" spans="2:5" x14ac:dyDescent="0.2">
      <c r="B74" s="454" t="s">
        <v>713</v>
      </c>
      <c r="C74" s="822"/>
      <c r="D74" s="447">
        <v>214980</v>
      </c>
    </row>
    <row r="75" spans="2:5" x14ac:dyDescent="0.2">
      <c r="B75" s="454" t="s">
        <v>714</v>
      </c>
      <c r="C75" s="822"/>
      <c r="D75" s="447">
        <v>246864</v>
      </c>
    </row>
    <row r="76" spans="2:5" x14ac:dyDescent="0.2">
      <c r="B76" s="454" t="s">
        <v>715</v>
      </c>
      <c r="C76" s="822"/>
      <c r="D76" s="447">
        <v>278634</v>
      </c>
    </row>
    <row r="77" spans="2:5" x14ac:dyDescent="0.2">
      <c r="B77" s="454" t="s">
        <v>716</v>
      </c>
      <c r="C77" s="822"/>
      <c r="D77" s="447">
        <v>338443</v>
      </c>
    </row>
    <row r="78" spans="2:5" x14ac:dyDescent="0.2">
      <c r="B78" s="454" t="s">
        <v>717</v>
      </c>
      <c r="C78" s="822"/>
      <c r="D78" s="447">
        <v>456561</v>
      </c>
    </row>
    <row r="79" spans="2:5" x14ac:dyDescent="0.2">
      <c r="B79" s="454" t="s">
        <v>718</v>
      </c>
      <c r="C79" s="822"/>
      <c r="D79" s="447">
        <v>593522</v>
      </c>
    </row>
    <row r="80" spans="2:5" x14ac:dyDescent="0.2">
      <c r="B80" s="454" t="s">
        <v>719</v>
      </c>
      <c r="C80" s="822"/>
      <c r="D80" s="447">
        <v>717923</v>
      </c>
    </row>
    <row r="81" spans="2:4" x14ac:dyDescent="0.2">
      <c r="B81" s="454" t="s">
        <v>720</v>
      </c>
      <c r="C81" s="823"/>
      <c r="D81" s="447">
        <v>845463</v>
      </c>
    </row>
    <row r="82" spans="2:4" ht="12.95" customHeight="1" x14ac:dyDescent="0.2">
      <c r="B82" s="101" t="s">
        <v>721</v>
      </c>
      <c r="D82" s="40"/>
    </row>
    <row r="83" spans="2:4" ht="12.95" customHeight="1" x14ac:dyDescent="0.2">
      <c r="B83" s="101" t="s">
        <v>722</v>
      </c>
      <c r="D83" s="40"/>
    </row>
    <row r="84" spans="2:4" ht="12.95" customHeight="1" x14ac:dyDescent="0.2">
      <c r="D84" s="40"/>
    </row>
    <row r="86" spans="2:4" ht="15" x14ac:dyDescent="0.25">
      <c r="B86" s="426" t="s">
        <v>1206</v>
      </c>
      <c r="D86" s="40"/>
    </row>
    <row r="87" spans="2:4" x14ac:dyDescent="0.2">
      <c r="B87" s="104" t="s">
        <v>723</v>
      </c>
      <c r="C87" s="54">
        <v>320000</v>
      </c>
      <c r="D87" s="40"/>
    </row>
    <row r="88" spans="2:4" x14ac:dyDescent="0.2">
      <c r="B88" s="104" t="s">
        <v>724</v>
      </c>
      <c r="C88" s="54">
        <v>360000</v>
      </c>
      <c r="D88" s="40"/>
    </row>
    <row r="89" spans="2:4" x14ac:dyDescent="0.2">
      <c r="B89" s="104" t="s">
        <v>725</v>
      </c>
      <c r="C89" s="54">
        <v>360000</v>
      </c>
      <c r="D89" s="40"/>
    </row>
    <row r="90" spans="2:4" x14ac:dyDescent="0.2">
      <c r="B90" s="104" t="s">
        <v>726</v>
      </c>
      <c r="C90" s="54">
        <v>560000</v>
      </c>
      <c r="D90" s="40"/>
    </row>
    <row r="91" spans="2:4" ht="15" x14ac:dyDescent="0.25">
      <c r="B91" s="455" t="s">
        <v>727</v>
      </c>
      <c r="C91" s="455">
        <f>AVERAGE(C87:C90)</f>
        <v>400000</v>
      </c>
      <c r="D91" s="40"/>
    </row>
    <row r="92" spans="2:4" x14ac:dyDescent="0.2">
      <c r="B92" s="450" t="s">
        <v>728</v>
      </c>
      <c r="D92" s="40"/>
    </row>
    <row r="93" spans="2:4" x14ac:dyDescent="0.2">
      <c r="B93" s="450" t="s">
        <v>729</v>
      </c>
      <c r="C93" s="450"/>
      <c r="D93" s="40"/>
    </row>
    <row r="94" spans="2:4" x14ac:dyDescent="0.2">
      <c r="B94" s="456"/>
      <c r="D94" s="425"/>
    </row>
    <row r="95" spans="2:4" ht="15" x14ac:dyDescent="0.25">
      <c r="B95" s="824" t="s">
        <v>1207</v>
      </c>
      <c r="C95" s="825"/>
      <c r="D95" s="457">
        <v>300000</v>
      </c>
    </row>
    <row r="97" spans="2:5" ht="15" x14ac:dyDescent="0.25">
      <c r="B97" s="426" t="s">
        <v>730</v>
      </c>
      <c r="C97" s="426" t="s">
        <v>731</v>
      </c>
      <c r="D97" s="458" t="s">
        <v>732</v>
      </c>
      <c r="E97" s="455">
        <v>9200</v>
      </c>
    </row>
    <row r="98" spans="2:5" x14ac:dyDescent="0.2">
      <c r="B98" s="104" t="s">
        <v>733</v>
      </c>
      <c r="C98" s="459" t="s">
        <v>734</v>
      </c>
      <c r="D98" s="460"/>
    </row>
    <row r="99" spans="2:5" x14ac:dyDescent="0.2">
      <c r="B99" s="104" t="s">
        <v>735</v>
      </c>
      <c r="C99" s="104" t="s">
        <v>736</v>
      </c>
      <c r="D99" s="460">
        <f>(2000/35)*E97</f>
        <v>525714.2857142858</v>
      </c>
    </row>
    <row r="100" spans="2:5" x14ac:dyDescent="0.2">
      <c r="B100" s="104" t="s">
        <v>737</v>
      </c>
      <c r="C100" s="104" t="s">
        <v>738</v>
      </c>
      <c r="D100" s="460">
        <f>(4000/35)*E97</f>
        <v>1051428.5714285716</v>
      </c>
    </row>
    <row r="101" spans="2:5" ht="15" x14ac:dyDescent="0.25">
      <c r="B101" s="104"/>
      <c r="C101" s="104"/>
      <c r="D101" s="461">
        <f>AVERAGE(D99:D100)</f>
        <v>788571.42857142864</v>
      </c>
    </row>
    <row r="102" spans="2:5" ht="15" x14ac:dyDescent="0.25">
      <c r="B102" s="462" t="s">
        <v>739</v>
      </c>
      <c r="C102" s="462" t="s">
        <v>740</v>
      </c>
      <c r="D102" s="463">
        <f>800000</f>
        <v>800000</v>
      </c>
    </row>
    <row r="103" spans="2:5" s="102" customFormat="1" x14ac:dyDescent="0.2">
      <c r="B103" s="102" t="s">
        <v>741</v>
      </c>
    </row>
    <row r="104" spans="2:5" s="102" customFormat="1" x14ac:dyDescent="0.2"/>
    <row r="105" spans="2:5" s="102" customFormat="1" x14ac:dyDescent="0.2">
      <c r="B105" s="101"/>
      <c r="C105" s="101"/>
      <c r="D105" s="101"/>
      <c r="E105" s="101"/>
    </row>
    <row r="106" spans="2:5" ht="15" x14ac:dyDescent="0.25">
      <c r="B106" s="426" t="s">
        <v>1209</v>
      </c>
      <c r="C106" s="463">
        <f>24000*20</f>
        <v>480000</v>
      </c>
    </row>
    <row r="107" spans="2:5" ht="15" x14ac:dyDescent="0.25">
      <c r="B107" s="426" t="s">
        <v>742</v>
      </c>
      <c r="C107" s="463">
        <f>500000</f>
        <v>500000</v>
      </c>
    </row>
    <row r="108" spans="2:5" x14ac:dyDescent="0.2">
      <c r="B108" s="814" t="s">
        <v>743</v>
      </c>
      <c r="C108" s="815"/>
    </row>
    <row r="109" spans="2:5" x14ac:dyDescent="0.2">
      <c r="B109" s="814" t="s">
        <v>744</v>
      </c>
      <c r="C109" s="815"/>
    </row>
    <row r="110" spans="2:5" x14ac:dyDescent="0.2">
      <c r="B110" s="42"/>
      <c r="C110" s="42"/>
    </row>
    <row r="111" spans="2:5" ht="15" x14ac:dyDescent="0.25">
      <c r="B111" s="426" t="s">
        <v>745</v>
      </c>
      <c r="C111" s="42"/>
    </row>
    <row r="112" spans="2:5" x14ac:dyDescent="0.2">
      <c r="B112" s="104" t="s">
        <v>746</v>
      </c>
      <c r="C112" s="43">
        <f>C107</f>
        <v>500000</v>
      </c>
    </row>
    <row r="113" spans="2:4" x14ac:dyDescent="0.2">
      <c r="B113" s="104" t="s">
        <v>730</v>
      </c>
      <c r="C113" s="43">
        <f>D102</f>
        <v>800000</v>
      </c>
    </row>
    <row r="114" spans="2:4" ht="15" x14ac:dyDescent="0.25">
      <c r="B114" s="426" t="s">
        <v>56</v>
      </c>
      <c r="C114" s="463">
        <f>C112+C113</f>
        <v>1300000</v>
      </c>
    </row>
    <row r="116" spans="2:4" ht="15" x14ac:dyDescent="0.25">
      <c r="B116" s="426" t="s">
        <v>1203</v>
      </c>
      <c r="C116" s="458" t="s">
        <v>54</v>
      </c>
    </row>
    <row r="117" spans="2:4" x14ac:dyDescent="0.2">
      <c r="B117" s="103" t="s">
        <v>747</v>
      </c>
      <c r="C117" s="43">
        <v>35000</v>
      </c>
    </row>
    <row r="118" spans="2:4" x14ac:dyDescent="0.2">
      <c r="B118" s="103" t="s">
        <v>748</v>
      </c>
      <c r="C118" s="43">
        <v>120000</v>
      </c>
    </row>
    <row r="119" spans="2:4" ht="15" x14ac:dyDescent="0.25">
      <c r="B119" s="458" t="s">
        <v>32</v>
      </c>
      <c r="C119" s="457">
        <f>C118+C117</f>
        <v>155000</v>
      </c>
      <c r="D119" s="101" t="s">
        <v>1205</v>
      </c>
    </row>
    <row r="120" spans="2:4" x14ac:dyDescent="0.2">
      <c r="B120" s="103" t="s">
        <v>749</v>
      </c>
      <c r="C120" s="43">
        <v>190000</v>
      </c>
    </row>
    <row r="121" spans="2:4" x14ac:dyDescent="0.2">
      <c r="B121" s="103" t="s">
        <v>750</v>
      </c>
      <c r="C121" s="43">
        <v>40000</v>
      </c>
    </row>
    <row r="122" spans="2:4" x14ac:dyDescent="0.2">
      <c r="B122" s="103" t="s">
        <v>751</v>
      </c>
      <c r="C122" s="43"/>
    </row>
    <row r="123" spans="2:4" ht="15" x14ac:dyDescent="0.25">
      <c r="B123" s="458" t="s">
        <v>32</v>
      </c>
      <c r="C123" s="457">
        <f>C119+C120+C121</f>
        <v>385000</v>
      </c>
    </row>
    <row r="124" spans="2:4" x14ac:dyDescent="0.2">
      <c r="B124" s="827" t="s">
        <v>752</v>
      </c>
      <c r="C124" s="828"/>
    </row>
    <row r="126" spans="2:4" ht="15" x14ac:dyDescent="0.25">
      <c r="B126" s="426" t="s">
        <v>753</v>
      </c>
      <c r="D126" s="40"/>
    </row>
    <row r="127" spans="2:4" x14ac:dyDescent="0.2">
      <c r="B127" s="101" t="s">
        <v>727</v>
      </c>
      <c r="D127" s="40"/>
    </row>
    <row r="128" spans="2:4" x14ac:dyDescent="0.2">
      <c r="D128" s="40"/>
    </row>
    <row r="129" spans="1:4" ht="15" x14ac:dyDescent="0.25">
      <c r="B129" s="464" t="s">
        <v>754</v>
      </c>
      <c r="C129" s="464" t="s">
        <v>755</v>
      </c>
      <c r="D129" s="425"/>
    </row>
    <row r="130" spans="1:4" x14ac:dyDescent="0.2">
      <c r="B130" s="448" t="s">
        <v>756</v>
      </c>
      <c r="C130" s="43">
        <v>2000000</v>
      </c>
      <c r="D130" s="425"/>
    </row>
    <row r="131" spans="1:4" ht="13.5" customHeight="1" x14ac:dyDescent="0.2">
      <c r="B131" s="448" t="s">
        <v>757</v>
      </c>
      <c r="C131" s="43">
        <v>1300000</v>
      </c>
      <c r="D131" s="425"/>
    </row>
    <row r="132" spans="1:4" x14ac:dyDescent="0.2">
      <c r="B132" s="448" t="s">
        <v>758</v>
      </c>
      <c r="C132" s="43">
        <v>3500000</v>
      </c>
      <c r="D132" s="425"/>
    </row>
    <row r="133" spans="1:4" x14ac:dyDescent="0.2">
      <c r="B133" s="448" t="s">
        <v>759</v>
      </c>
      <c r="C133" s="43">
        <v>1800000</v>
      </c>
      <c r="D133" s="425"/>
    </row>
    <row r="134" spans="1:4" ht="12.6" customHeight="1" x14ac:dyDescent="0.2">
      <c r="B134" s="827" t="s">
        <v>760</v>
      </c>
      <c r="C134" s="828"/>
      <c r="D134" s="425"/>
    </row>
    <row r="135" spans="1:4" x14ac:dyDescent="0.2">
      <c r="B135" s="450" t="s">
        <v>761</v>
      </c>
      <c r="C135" s="465"/>
      <c r="D135" s="425"/>
    </row>
    <row r="137" spans="1:4" ht="15" x14ac:dyDescent="0.25">
      <c r="B137" s="466" t="s">
        <v>1200</v>
      </c>
      <c r="C137" s="466">
        <v>7</v>
      </c>
    </row>
    <row r="138" spans="1:4" ht="15" x14ac:dyDescent="0.25">
      <c r="B138" s="466" t="s">
        <v>1211</v>
      </c>
      <c r="C138" s="466">
        <v>19</v>
      </c>
    </row>
    <row r="139" spans="1:4" ht="15" x14ac:dyDescent="0.25">
      <c r="B139" s="466" t="s">
        <v>1212</v>
      </c>
      <c r="C139" s="466">
        <v>4</v>
      </c>
    </row>
    <row r="140" spans="1:4" x14ac:dyDescent="0.2">
      <c r="A140" s="450"/>
      <c r="B140" s="101" t="s">
        <v>762</v>
      </c>
    </row>
    <row r="143" spans="1:4" ht="15" x14ac:dyDescent="0.25">
      <c r="B143" s="466" t="s">
        <v>763</v>
      </c>
    </row>
    <row r="144" spans="1:4" x14ac:dyDescent="0.2">
      <c r="A144" s="103">
        <v>1</v>
      </c>
      <c r="B144" s="467" t="s">
        <v>764</v>
      </c>
    </row>
    <row r="145" spans="1:3" x14ac:dyDescent="0.2">
      <c r="A145" s="103">
        <v>2</v>
      </c>
      <c r="B145" s="467" t="s">
        <v>765</v>
      </c>
    </row>
    <row r="146" spans="1:3" x14ac:dyDescent="0.2">
      <c r="A146" s="103">
        <v>3</v>
      </c>
      <c r="B146" s="467" t="s">
        <v>766</v>
      </c>
    </row>
    <row r="147" spans="1:3" x14ac:dyDescent="0.2">
      <c r="A147" s="103">
        <v>4</v>
      </c>
      <c r="B147" s="467" t="s">
        <v>767</v>
      </c>
    </row>
    <row r="148" spans="1:3" x14ac:dyDescent="0.2">
      <c r="A148" s="103">
        <v>5</v>
      </c>
      <c r="B148" s="467" t="s">
        <v>768</v>
      </c>
    </row>
    <row r="149" spans="1:3" x14ac:dyDescent="0.2">
      <c r="A149" s="103">
        <v>6</v>
      </c>
      <c r="B149" s="467" t="s">
        <v>769</v>
      </c>
    </row>
    <row r="150" spans="1:3" x14ac:dyDescent="0.2">
      <c r="A150" s="103">
        <v>7</v>
      </c>
      <c r="B150" s="467" t="s">
        <v>770</v>
      </c>
    </row>
    <row r="154" spans="1:3" ht="15" x14ac:dyDescent="0.25">
      <c r="B154" s="466" t="s">
        <v>771</v>
      </c>
      <c r="C154" s="466" t="s">
        <v>772</v>
      </c>
    </row>
    <row r="155" spans="1:3" x14ac:dyDescent="0.2">
      <c r="A155" s="103">
        <v>1</v>
      </c>
      <c r="B155" s="388" t="s">
        <v>773</v>
      </c>
      <c r="C155" s="468">
        <v>1</v>
      </c>
    </row>
    <row r="156" spans="1:3" x14ac:dyDescent="0.2">
      <c r="A156" s="103">
        <v>2</v>
      </c>
      <c r="B156" s="388" t="s">
        <v>774</v>
      </c>
      <c r="C156" s="468">
        <v>1</v>
      </c>
    </row>
    <row r="157" spans="1:3" ht="15" customHeight="1" x14ac:dyDescent="0.2">
      <c r="A157" s="103">
        <v>3</v>
      </c>
      <c r="B157" s="388" t="s">
        <v>775</v>
      </c>
      <c r="C157" s="468">
        <v>0.99</v>
      </c>
    </row>
    <row r="158" spans="1:3" x14ac:dyDescent="0.2">
      <c r="A158" s="103">
        <v>4</v>
      </c>
      <c r="B158" s="388" t="s">
        <v>776</v>
      </c>
      <c r="C158" s="468">
        <v>0.95</v>
      </c>
    </row>
    <row r="159" spans="1:3" x14ac:dyDescent="0.2">
      <c r="A159" s="103">
        <v>5</v>
      </c>
      <c r="B159" s="388" t="s">
        <v>777</v>
      </c>
      <c r="C159" s="468">
        <v>0.93</v>
      </c>
    </row>
    <row r="160" spans="1:3" x14ac:dyDescent="0.2">
      <c r="A160" s="103">
        <v>6</v>
      </c>
      <c r="B160" s="388" t="s">
        <v>778</v>
      </c>
      <c r="C160" s="468">
        <v>0.86</v>
      </c>
    </row>
    <row r="161" spans="1:3" x14ac:dyDescent="0.2">
      <c r="A161" s="103">
        <v>7</v>
      </c>
      <c r="B161" s="388" t="s">
        <v>779</v>
      </c>
      <c r="C161" s="468">
        <v>0.49</v>
      </c>
    </row>
    <row r="162" spans="1:3" x14ac:dyDescent="0.2">
      <c r="A162" s="103">
        <v>8</v>
      </c>
      <c r="B162" s="388" t="s">
        <v>780</v>
      </c>
      <c r="C162" s="468">
        <v>0.49</v>
      </c>
    </row>
    <row r="163" spans="1:3" x14ac:dyDescent="0.2">
      <c r="A163" s="103">
        <v>9</v>
      </c>
      <c r="B163" s="388" t="s">
        <v>781</v>
      </c>
      <c r="C163" s="468">
        <v>0.44</v>
      </c>
    </row>
    <row r="164" spans="1:3" x14ac:dyDescent="0.2">
      <c r="A164" s="103">
        <v>10</v>
      </c>
      <c r="B164" s="388" t="s">
        <v>782</v>
      </c>
      <c r="C164" s="468">
        <v>0.31</v>
      </c>
    </row>
    <row r="165" spans="1:3" x14ac:dyDescent="0.2">
      <c r="A165" s="103">
        <v>11</v>
      </c>
      <c r="B165" s="469" t="s">
        <v>783</v>
      </c>
      <c r="C165" s="470">
        <v>0.18</v>
      </c>
    </row>
    <row r="166" spans="1:3" x14ac:dyDescent="0.2">
      <c r="A166" s="103">
        <v>12</v>
      </c>
      <c r="B166" s="469" t="s">
        <v>784</v>
      </c>
      <c r="C166" s="470">
        <v>0.18</v>
      </c>
    </row>
    <row r="167" spans="1:3" x14ac:dyDescent="0.2">
      <c r="A167" s="103">
        <v>13</v>
      </c>
      <c r="B167" s="469" t="s">
        <v>785</v>
      </c>
      <c r="C167" s="470">
        <v>0.15</v>
      </c>
    </row>
    <row r="168" spans="1:3" x14ac:dyDescent="0.2">
      <c r="A168" s="103">
        <v>14</v>
      </c>
      <c r="B168" s="469" t="s">
        <v>786</v>
      </c>
      <c r="C168" s="470">
        <v>0.14000000000000001</v>
      </c>
    </row>
    <row r="169" spans="1:3" x14ac:dyDescent="0.2">
      <c r="A169" s="103">
        <v>15</v>
      </c>
      <c r="B169" s="469" t="s">
        <v>787</v>
      </c>
      <c r="C169" s="470">
        <v>0.12</v>
      </c>
    </row>
    <row r="170" spans="1:3" x14ac:dyDescent="0.2">
      <c r="A170" s="103">
        <v>16</v>
      </c>
      <c r="B170" s="469" t="s">
        <v>788</v>
      </c>
      <c r="C170" s="470">
        <v>7.0000000000000007E-2</v>
      </c>
    </row>
    <row r="171" spans="1:3" x14ac:dyDescent="0.2">
      <c r="A171" s="103">
        <v>17</v>
      </c>
      <c r="B171" s="469" t="s">
        <v>789</v>
      </c>
      <c r="C171" s="470">
        <v>0.01</v>
      </c>
    </row>
    <row r="172" spans="1:3" x14ac:dyDescent="0.2">
      <c r="A172" s="103">
        <v>18</v>
      </c>
      <c r="B172" s="469" t="s">
        <v>790</v>
      </c>
      <c r="C172" s="470">
        <v>0</v>
      </c>
    </row>
    <row r="173" spans="1:3" x14ac:dyDescent="0.2">
      <c r="A173" s="103">
        <v>19</v>
      </c>
      <c r="B173" s="101" t="s">
        <v>791</v>
      </c>
      <c r="C173" s="101" t="s">
        <v>792</v>
      </c>
    </row>
    <row r="174" spans="1:3" ht="15" x14ac:dyDescent="0.25">
      <c r="B174" s="466" t="s">
        <v>793</v>
      </c>
      <c r="C174" s="466">
        <f>+A164</f>
        <v>10</v>
      </c>
    </row>
    <row r="175" spans="1:3" x14ac:dyDescent="0.2">
      <c r="B175" s="101" t="s">
        <v>794</v>
      </c>
    </row>
    <row r="177" spans="1:4" ht="15" x14ac:dyDescent="0.25">
      <c r="B177" s="466" t="s">
        <v>795</v>
      </c>
    </row>
    <row r="178" spans="1:4" ht="15" x14ac:dyDescent="0.25">
      <c r="B178" s="466" t="s">
        <v>796</v>
      </c>
      <c r="C178" s="466" t="s">
        <v>797</v>
      </c>
      <c r="D178" s="466" t="s">
        <v>798</v>
      </c>
    </row>
    <row r="179" spans="1:4" x14ac:dyDescent="0.2">
      <c r="A179" s="103">
        <v>1</v>
      </c>
      <c r="B179" s="471" t="s">
        <v>773</v>
      </c>
      <c r="C179" s="472">
        <v>77815</v>
      </c>
      <c r="D179" s="829" t="s">
        <v>799</v>
      </c>
    </row>
    <row r="180" spans="1:4" x14ac:dyDescent="0.2">
      <c r="A180" s="103">
        <v>2</v>
      </c>
      <c r="B180" s="471" t="s">
        <v>774</v>
      </c>
      <c r="C180" s="472">
        <v>14344</v>
      </c>
      <c r="D180" s="830"/>
    </row>
    <row r="181" spans="1:4" x14ac:dyDescent="0.2">
      <c r="A181" s="103">
        <v>3</v>
      </c>
      <c r="B181" s="471" t="s">
        <v>780</v>
      </c>
      <c r="C181" s="472">
        <v>57587</v>
      </c>
      <c r="D181" s="831"/>
    </row>
    <row r="182" spans="1:4" x14ac:dyDescent="0.2">
      <c r="A182" s="103">
        <v>4</v>
      </c>
      <c r="B182" s="471" t="s">
        <v>775</v>
      </c>
      <c r="C182" s="472">
        <v>20675</v>
      </c>
      <c r="D182" s="832" t="s">
        <v>800</v>
      </c>
    </row>
    <row r="183" spans="1:4" x14ac:dyDescent="0.2">
      <c r="A183" s="103">
        <v>5</v>
      </c>
      <c r="B183" s="471" t="s">
        <v>781</v>
      </c>
      <c r="C183" s="472">
        <v>39113</v>
      </c>
      <c r="D183" s="833"/>
    </row>
    <row r="184" spans="1:4" x14ac:dyDescent="0.2">
      <c r="A184" s="103">
        <v>6</v>
      </c>
      <c r="B184" s="471" t="s">
        <v>776</v>
      </c>
      <c r="C184" s="472">
        <v>277455</v>
      </c>
      <c r="D184" s="834"/>
    </row>
    <row r="185" spans="1:4" x14ac:dyDescent="0.2">
      <c r="A185" s="103">
        <v>7</v>
      </c>
      <c r="B185" s="471" t="s">
        <v>782</v>
      </c>
      <c r="C185" s="472">
        <v>98649</v>
      </c>
      <c r="D185" s="835" t="s">
        <v>801</v>
      </c>
    </row>
    <row r="186" spans="1:4" x14ac:dyDescent="0.2">
      <c r="A186" s="103">
        <v>8</v>
      </c>
      <c r="B186" s="471" t="s">
        <v>779</v>
      </c>
      <c r="C186" s="472">
        <v>239032</v>
      </c>
      <c r="D186" s="836"/>
    </row>
    <row r="187" spans="1:4" x14ac:dyDescent="0.2">
      <c r="A187" s="103">
        <v>9</v>
      </c>
      <c r="B187" s="471" t="s">
        <v>777</v>
      </c>
      <c r="C187" s="472">
        <v>152479</v>
      </c>
      <c r="D187" s="837" t="s">
        <v>802</v>
      </c>
    </row>
    <row r="188" spans="1:4" x14ac:dyDescent="0.2">
      <c r="A188" s="103">
        <v>10</v>
      </c>
      <c r="B188" s="471" t="s">
        <v>778</v>
      </c>
      <c r="C188" s="472">
        <v>117860</v>
      </c>
      <c r="D188" s="837"/>
    </row>
    <row r="189" spans="1:4" ht="15" x14ac:dyDescent="0.25">
      <c r="B189" s="466" t="s">
        <v>803</v>
      </c>
      <c r="D189" s="466">
        <v>4</v>
      </c>
    </row>
    <row r="190" spans="1:4" s="102" customFormat="1" ht="15" x14ac:dyDescent="0.25">
      <c r="B190" s="49" t="s">
        <v>804</v>
      </c>
      <c r="D190" s="49"/>
    </row>
    <row r="192" spans="1:4" ht="15" x14ac:dyDescent="0.25">
      <c r="B192" s="466" t="s">
        <v>805</v>
      </c>
    </row>
    <row r="193" spans="1:3" x14ac:dyDescent="0.2">
      <c r="A193" s="473">
        <v>1</v>
      </c>
      <c r="B193" s="473" t="s">
        <v>806</v>
      </c>
      <c r="C193" s="473" t="s">
        <v>792</v>
      </c>
    </row>
    <row r="194" spans="1:3" x14ac:dyDescent="0.2">
      <c r="A194" s="473">
        <v>2</v>
      </c>
      <c r="B194" s="473" t="s">
        <v>790</v>
      </c>
      <c r="C194" s="474">
        <v>1</v>
      </c>
    </row>
    <row r="195" spans="1:3" ht="15" customHeight="1" x14ac:dyDescent="0.2">
      <c r="A195" s="473">
        <v>3</v>
      </c>
      <c r="B195" s="473" t="s">
        <v>789</v>
      </c>
      <c r="C195" s="474">
        <v>0.99</v>
      </c>
    </row>
    <row r="196" spans="1:3" x14ac:dyDescent="0.2">
      <c r="A196" s="473">
        <v>4</v>
      </c>
      <c r="B196" s="473" t="s">
        <v>788</v>
      </c>
      <c r="C196" s="474">
        <v>0.91</v>
      </c>
    </row>
    <row r="197" spans="1:3" x14ac:dyDescent="0.2">
      <c r="A197" s="473">
        <v>5</v>
      </c>
      <c r="B197" s="473" t="s">
        <v>787</v>
      </c>
      <c r="C197" s="474">
        <v>0.88</v>
      </c>
    </row>
    <row r="198" spans="1:3" x14ac:dyDescent="0.2">
      <c r="A198" s="473">
        <v>6</v>
      </c>
      <c r="B198" s="473" t="s">
        <v>786</v>
      </c>
      <c r="C198" s="474">
        <v>0.86</v>
      </c>
    </row>
    <row r="199" spans="1:3" x14ac:dyDescent="0.2">
      <c r="A199" s="473">
        <v>7</v>
      </c>
      <c r="B199" s="473" t="s">
        <v>785</v>
      </c>
      <c r="C199" s="474">
        <v>0.85</v>
      </c>
    </row>
    <row r="200" spans="1:3" x14ac:dyDescent="0.2">
      <c r="A200" s="473">
        <v>8</v>
      </c>
      <c r="B200" s="473" t="s">
        <v>784</v>
      </c>
      <c r="C200" s="474">
        <v>0.82</v>
      </c>
    </row>
    <row r="201" spans="1:3" x14ac:dyDescent="0.2">
      <c r="A201" s="473">
        <v>9</v>
      </c>
      <c r="B201" s="473" t="s">
        <v>783</v>
      </c>
      <c r="C201" s="474">
        <v>0.85</v>
      </c>
    </row>
    <row r="202" spans="1:3" x14ac:dyDescent="0.2">
      <c r="A202" s="473">
        <v>10</v>
      </c>
      <c r="B202" s="473" t="s">
        <v>782</v>
      </c>
      <c r="C202" s="474">
        <v>0.69</v>
      </c>
    </row>
    <row r="203" spans="1:3" x14ac:dyDescent="0.2">
      <c r="A203" s="473">
        <v>11</v>
      </c>
      <c r="B203" s="473" t="s">
        <v>781</v>
      </c>
      <c r="C203" s="474">
        <v>0.56000000000000005</v>
      </c>
    </row>
    <row r="204" spans="1:3" x14ac:dyDescent="0.2">
      <c r="A204" s="473">
        <v>12</v>
      </c>
      <c r="B204" s="473" t="s">
        <v>780</v>
      </c>
      <c r="C204" s="474">
        <v>0.51</v>
      </c>
    </row>
    <row r="205" spans="1:3" x14ac:dyDescent="0.2">
      <c r="A205" s="473">
        <v>13</v>
      </c>
      <c r="B205" s="473" t="s">
        <v>779</v>
      </c>
      <c r="C205" s="474">
        <v>0.51</v>
      </c>
    </row>
    <row r="206" spans="1:3" x14ac:dyDescent="0.2">
      <c r="A206" s="473">
        <v>14</v>
      </c>
      <c r="B206" s="473" t="s">
        <v>778</v>
      </c>
      <c r="C206" s="474">
        <v>0.14000000000000001</v>
      </c>
    </row>
    <row r="207" spans="1:3" x14ac:dyDescent="0.2">
      <c r="A207" s="473">
        <v>15</v>
      </c>
      <c r="B207" s="473" t="s">
        <v>777</v>
      </c>
      <c r="C207" s="474">
        <v>7.0000000000000007E-2</v>
      </c>
    </row>
    <row r="208" spans="1:3" x14ac:dyDescent="0.2">
      <c r="A208" s="103">
        <v>16</v>
      </c>
      <c r="B208" s="48" t="s">
        <v>776</v>
      </c>
      <c r="C208" s="475">
        <v>0.05</v>
      </c>
    </row>
    <row r="209" spans="1:6" x14ac:dyDescent="0.2">
      <c r="A209" s="103">
        <v>17</v>
      </c>
      <c r="B209" s="48" t="s">
        <v>775</v>
      </c>
      <c r="C209" s="475">
        <v>0.01</v>
      </c>
    </row>
    <row r="210" spans="1:6" x14ac:dyDescent="0.2">
      <c r="A210" s="103">
        <v>18</v>
      </c>
      <c r="B210" s="48" t="s">
        <v>774</v>
      </c>
      <c r="C210" s="475"/>
    </row>
    <row r="211" spans="1:6" x14ac:dyDescent="0.2">
      <c r="A211" s="103">
        <v>19</v>
      </c>
      <c r="B211" s="48" t="s">
        <v>773</v>
      </c>
      <c r="C211" s="475"/>
    </row>
    <row r="212" spans="1:6" ht="15" x14ac:dyDescent="0.25">
      <c r="B212" s="466" t="s">
        <v>807</v>
      </c>
      <c r="C212" s="466">
        <f>A207</f>
        <v>15</v>
      </c>
    </row>
    <row r="213" spans="1:6" x14ac:dyDescent="0.2">
      <c r="B213" s="101" t="s">
        <v>794</v>
      </c>
    </row>
    <row r="215" spans="1:6" ht="15" x14ac:dyDescent="0.25">
      <c r="B215" s="476" t="s">
        <v>808</v>
      </c>
      <c r="D215" s="425"/>
      <c r="F215" s="432"/>
    </row>
    <row r="216" spans="1:6" x14ac:dyDescent="0.2">
      <c r="B216" s="104" t="s">
        <v>809</v>
      </c>
      <c r="C216" s="477">
        <f>C229</f>
        <v>500000</v>
      </c>
      <c r="E216" s="44"/>
      <c r="F216" s="432"/>
    </row>
    <row r="217" spans="1:6" x14ac:dyDescent="0.2">
      <c r="B217" s="103" t="str">
        <f>B232</f>
        <v>b. Talleres y/ o eventos de divulgación nacionales y/o regionales (Productor, transformador, comercialización)</v>
      </c>
      <c r="C217" s="45">
        <f>C238</f>
        <v>2300000</v>
      </c>
      <c r="E217" s="44"/>
      <c r="F217" s="432"/>
    </row>
    <row r="218" spans="1:6" x14ac:dyDescent="0.2">
      <c r="B218" s="104" t="str">
        <f>B247</f>
        <v>c. Escuelas, dias de campo, giras técnicas,  y/ o visitas,  (Productor, transformador, comercialización)</v>
      </c>
      <c r="C218" s="477">
        <f>C254</f>
        <v>3270000</v>
      </c>
      <c r="E218" s="44"/>
      <c r="F218" s="432"/>
    </row>
    <row r="219" spans="1:6" x14ac:dyDescent="0.2">
      <c r="B219" s="104" t="str">
        <f>B258</f>
        <v xml:space="preserve">d. Parcelas demostrativas o lotes modelos </v>
      </c>
      <c r="C219" s="477">
        <f>C264</f>
        <v>5170000</v>
      </c>
      <c r="E219" s="44"/>
      <c r="F219" s="432"/>
    </row>
    <row r="220" spans="1:6" x14ac:dyDescent="0.2">
      <c r="B220" s="104" t="s">
        <v>810</v>
      </c>
      <c r="C220" s="477">
        <f>C216*20%</f>
        <v>100000</v>
      </c>
      <c r="E220" s="44"/>
      <c r="F220" s="432"/>
    </row>
    <row r="221" spans="1:6" x14ac:dyDescent="0.2">
      <c r="B221" s="104" t="s">
        <v>811</v>
      </c>
      <c r="C221" s="477">
        <f>C217*20%</f>
        <v>460000</v>
      </c>
      <c r="E221" s="44"/>
      <c r="F221" s="432"/>
    </row>
    <row r="222" spans="1:6" hidden="1" x14ac:dyDescent="0.2">
      <c r="B222" s="103" t="s">
        <v>812</v>
      </c>
      <c r="C222" s="478" t="e">
        <f>#REF!*10%</f>
        <v>#REF!</v>
      </c>
      <c r="E222" s="44"/>
      <c r="F222" s="432"/>
    </row>
    <row r="223" spans="1:6" x14ac:dyDescent="0.2">
      <c r="B223" s="101" t="s">
        <v>813</v>
      </c>
      <c r="E223" s="44"/>
      <c r="F223" s="432"/>
    </row>
    <row r="224" spans="1:6" x14ac:dyDescent="0.2">
      <c r="E224" s="44"/>
      <c r="F224" s="432"/>
    </row>
    <row r="226" spans="2:3" ht="27" customHeight="1" x14ac:dyDescent="0.25">
      <c r="B226" s="466" t="s">
        <v>809</v>
      </c>
      <c r="C226" s="40" t="s">
        <v>814</v>
      </c>
    </row>
    <row r="227" spans="2:3" x14ac:dyDescent="0.2">
      <c r="B227" s="103" t="s">
        <v>815</v>
      </c>
      <c r="C227" s="478">
        <f>15000*20</f>
        <v>300000</v>
      </c>
    </row>
    <row r="228" spans="2:3" x14ac:dyDescent="0.2">
      <c r="B228" s="103" t="s">
        <v>816</v>
      </c>
      <c r="C228" s="478">
        <v>200000</v>
      </c>
    </row>
    <row r="229" spans="2:3" ht="15" x14ac:dyDescent="0.25">
      <c r="B229" s="479" t="s">
        <v>817</v>
      </c>
      <c r="C229" s="480">
        <f>C227+C228</f>
        <v>500000</v>
      </c>
    </row>
    <row r="232" spans="2:3" ht="39" customHeight="1" x14ac:dyDescent="0.25">
      <c r="B232" s="481" t="s">
        <v>818</v>
      </c>
      <c r="C232" s="466" t="s">
        <v>819</v>
      </c>
    </row>
    <row r="233" spans="2:3" x14ac:dyDescent="0.2">
      <c r="B233" s="103" t="s">
        <v>820</v>
      </c>
      <c r="C233" s="478">
        <v>500000</v>
      </c>
    </row>
    <row r="234" spans="2:3" x14ac:dyDescent="0.2">
      <c r="B234" s="103" t="s">
        <v>815</v>
      </c>
      <c r="C234" s="478">
        <f>15000*40</f>
        <v>600000</v>
      </c>
    </row>
    <row r="235" spans="2:3" x14ac:dyDescent="0.2">
      <c r="B235" s="303" t="s">
        <v>821</v>
      </c>
      <c r="C235" s="478">
        <f>2500*40</f>
        <v>100000</v>
      </c>
    </row>
    <row r="236" spans="2:3" x14ac:dyDescent="0.2">
      <c r="B236" s="103" t="s">
        <v>822</v>
      </c>
      <c r="C236" s="478">
        <f>25000*40</f>
        <v>1000000</v>
      </c>
    </row>
    <row r="237" spans="2:3" x14ac:dyDescent="0.2">
      <c r="B237" s="103" t="s">
        <v>823</v>
      </c>
      <c r="C237" s="478">
        <v>100000</v>
      </c>
    </row>
    <row r="238" spans="2:3" ht="15" x14ac:dyDescent="0.25">
      <c r="B238" s="466" t="s">
        <v>824</v>
      </c>
      <c r="C238" s="480">
        <f>SUM(C233:C237)</f>
        <v>2300000</v>
      </c>
    </row>
    <row r="239" spans="2:3" x14ac:dyDescent="0.2">
      <c r="B239" s="103" t="s">
        <v>825</v>
      </c>
      <c r="C239" s="478"/>
    </row>
    <row r="241" spans="2:3" ht="15" hidden="1" x14ac:dyDescent="0.25">
      <c r="B241" s="466" t="s">
        <v>826</v>
      </c>
      <c r="C241" s="40" t="s">
        <v>814</v>
      </c>
    </row>
    <row r="242" spans="2:3" hidden="1" x14ac:dyDescent="0.2">
      <c r="B242" s="103" t="s">
        <v>815</v>
      </c>
      <c r="C242" s="478">
        <v>500000</v>
      </c>
    </row>
    <row r="243" spans="2:3" hidden="1" x14ac:dyDescent="0.2">
      <c r="B243" s="303" t="s">
        <v>820</v>
      </c>
      <c r="C243" s="478">
        <v>500000</v>
      </c>
    </row>
    <row r="244" spans="2:3" ht="15" hidden="1" x14ac:dyDescent="0.25">
      <c r="B244" s="479" t="s">
        <v>817</v>
      </c>
      <c r="C244" s="480">
        <f>SUM(C242:C243)</f>
        <v>1000000</v>
      </c>
    </row>
    <row r="245" spans="2:3" hidden="1" x14ac:dyDescent="0.2">
      <c r="B245" s="103" t="s">
        <v>827</v>
      </c>
    </row>
    <row r="247" spans="2:3" ht="30" x14ac:dyDescent="0.25">
      <c r="B247" s="481" t="s">
        <v>828</v>
      </c>
      <c r="C247" s="466" t="s">
        <v>829</v>
      </c>
    </row>
    <row r="248" spans="2:3" x14ac:dyDescent="0.2">
      <c r="B248" s="478" t="s">
        <v>830</v>
      </c>
      <c r="C248" s="478">
        <f>20000*20</f>
        <v>400000</v>
      </c>
    </row>
    <row r="249" spans="2:3" x14ac:dyDescent="0.2">
      <c r="B249" s="478" t="s">
        <v>831</v>
      </c>
      <c r="C249" s="478">
        <f>25000*20</f>
        <v>500000</v>
      </c>
    </row>
    <row r="250" spans="2:3" x14ac:dyDescent="0.2">
      <c r="B250" s="103" t="s">
        <v>1221</v>
      </c>
      <c r="C250" s="478">
        <f>25000*20</f>
        <v>500000</v>
      </c>
    </row>
    <row r="251" spans="2:3" x14ac:dyDescent="0.2">
      <c r="B251" s="103" t="s">
        <v>832</v>
      </c>
      <c r="C251" s="478">
        <f>C123*2</f>
        <v>770000</v>
      </c>
    </row>
    <row r="252" spans="2:3" x14ac:dyDescent="0.2">
      <c r="B252" s="103" t="s">
        <v>833</v>
      </c>
      <c r="C252" s="478">
        <v>100000</v>
      </c>
    </row>
    <row r="253" spans="2:3" x14ac:dyDescent="0.2">
      <c r="B253" s="103" t="s">
        <v>834</v>
      </c>
      <c r="C253" s="478">
        <f>50000*20</f>
        <v>1000000</v>
      </c>
    </row>
    <row r="254" spans="2:3" ht="15" x14ac:dyDescent="0.25">
      <c r="B254" s="466" t="s">
        <v>32</v>
      </c>
      <c r="C254" s="480">
        <f>SUM(C248:C253)</f>
        <v>3270000</v>
      </c>
    </row>
    <row r="255" spans="2:3" x14ac:dyDescent="0.2">
      <c r="B255" s="101" t="s">
        <v>835</v>
      </c>
    </row>
    <row r="256" spans="2:3" x14ac:dyDescent="0.2">
      <c r="B256" s="101" t="s">
        <v>836</v>
      </c>
    </row>
    <row r="258" spans="2:4" ht="15" x14ac:dyDescent="0.25">
      <c r="B258" s="466" t="s">
        <v>837</v>
      </c>
      <c r="C258" s="466" t="s">
        <v>838</v>
      </c>
    </row>
    <row r="259" spans="2:4" x14ac:dyDescent="0.2">
      <c r="B259" s="478" t="s">
        <v>839</v>
      </c>
      <c r="C259" s="478">
        <f>(900000*1.5)</f>
        <v>1350000</v>
      </c>
      <c r="D259" s="52"/>
    </row>
    <row r="260" spans="2:4" x14ac:dyDescent="0.2">
      <c r="B260" s="103" t="s">
        <v>840</v>
      </c>
      <c r="C260" s="53">
        <f>150000*20</f>
        <v>3000000</v>
      </c>
    </row>
    <row r="261" spans="2:4" x14ac:dyDescent="0.2">
      <c r="B261" s="103" t="s">
        <v>841</v>
      </c>
      <c r="C261" s="53">
        <f>80000*4</f>
        <v>320000</v>
      </c>
    </row>
    <row r="262" spans="2:4" x14ac:dyDescent="0.2">
      <c r="B262" s="478" t="s">
        <v>842</v>
      </c>
      <c r="C262" s="53">
        <f>40000*5</f>
        <v>200000</v>
      </c>
    </row>
    <row r="263" spans="2:4" x14ac:dyDescent="0.2">
      <c r="B263" s="103" t="s">
        <v>843</v>
      </c>
      <c r="C263" s="478">
        <f>2*150000</f>
        <v>300000</v>
      </c>
    </row>
    <row r="264" spans="2:4" ht="15" x14ac:dyDescent="0.25">
      <c r="B264" s="466" t="s">
        <v>32</v>
      </c>
      <c r="C264" s="480">
        <f>SUM(C259:C263)</f>
        <v>5170000</v>
      </c>
    </row>
    <row r="266" spans="2:4" ht="15" hidden="1" x14ac:dyDescent="0.25">
      <c r="B266" s="838" t="s">
        <v>844</v>
      </c>
      <c r="C266" s="839"/>
    </row>
    <row r="267" spans="2:4" hidden="1" x14ac:dyDescent="0.2">
      <c r="B267" s="482" t="s">
        <v>845</v>
      </c>
      <c r="C267" s="483">
        <f>50000*25</f>
        <v>1250000</v>
      </c>
    </row>
    <row r="268" spans="2:4" hidden="1" x14ac:dyDescent="0.2">
      <c r="B268" s="483" t="s">
        <v>815</v>
      </c>
      <c r="C268" s="483">
        <f>15000*25</f>
        <v>375000</v>
      </c>
    </row>
    <row r="269" spans="2:4" hidden="1" x14ac:dyDescent="0.2">
      <c r="B269" s="46" t="s">
        <v>831</v>
      </c>
      <c r="C269" s="483">
        <f>25000*25</f>
        <v>625000</v>
      </c>
    </row>
    <row r="270" spans="2:4" hidden="1" x14ac:dyDescent="0.2">
      <c r="B270" s="478" t="s">
        <v>846</v>
      </c>
      <c r="C270" s="483">
        <v>600000</v>
      </c>
    </row>
    <row r="271" spans="2:4" hidden="1" x14ac:dyDescent="0.2">
      <c r="B271" s="483" t="s">
        <v>847</v>
      </c>
      <c r="C271" s="483">
        <f>30*40000</f>
        <v>1200000</v>
      </c>
    </row>
    <row r="272" spans="2:4" hidden="1" x14ac:dyDescent="0.2">
      <c r="B272" s="103" t="s">
        <v>848</v>
      </c>
      <c r="C272" s="478">
        <v>250000</v>
      </c>
    </row>
    <row r="273" spans="2:3" hidden="1" x14ac:dyDescent="0.2">
      <c r="B273" s="103" t="s">
        <v>849</v>
      </c>
      <c r="C273" s="478">
        <v>300000</v>
      </c>
    </row>
    <row r="274" spans="2:3" ht="15" hidden="1" x14ac:dyDescent="0.25">
      <c r="B274" s="484" t="s">
        <v>817</v>
      </c>
      <c r="C274" s="484">
        <f>SUM(C267:C273)</f>
        <v>4600000</v>
      </c>
    </row>
    <row r="275" spans="2:3" hidden="1" x14ac:dyDescent="0.2"/>
    <row r="276" spans="2:3" ht="27" customHeight="1" x14ac:dyDescent="0.25">
      <c r="B276" s="466" t="s">
        <v>1224</v>
      </c>
      <c r="C276" s="40" t="s">
        <v>814</v>
      </c>
    </row>
    <row r="277" spans="2:3" x14ac:dyDescent="0.2">
      <c r="B277" s="103" t="s">
        <v>815</v>
      </c>
      <c r="C277" s="478">
        <f>15000*20</f>
        <v>300000</v>
      </c>
    </row>
    <row r="278" spans="2:3" x14ac:dyDescent="0.2">
      <c r="B278" s="103" t="s">
        <v>816</v>
      </c>
      <c r="C278" s="478">
        <v>200000</v>
      </c>
    </row>
    <row r="279" spans="2:3" ht="15" x14ac:dyDescent="0.25">
      <c r="B279" s="479" t="s">
        <v>817</v>
      </c>
      <c r="C279" s="480">
        <f>C277+C278</f>
        <v>500000</v>
      </c>
    </row>
    <row r="280" spans="2:3" ht="15" x14ac:dyDescent="0.25">
      <c r="B280" s="479" t="s">
        <v>1225</v>
      </c>
      <c r="C280" s="480">
        <f>C279*20%</f>
        <v>100000</v>
      </c>
    </row>
    <row r="282" spans="2:3" ht="39" customHeight="1" x14ac:dyDescent="0.25">
      <c r="B282" s="655" t="s">
        <v>1227</v>
      </c>
      <c r="C282" s="466" t="s">
        <v>819</v>
      </c>
    </row>
    <row r="283" spans="2:3" x14ac:dyDescent="0.2">
      <c r="B283" s="103" t="s">
        <v>820</v>
      </c>
      <c r="C283" s="478">
        <v>500000</v>
      </c>
    </row>
    <row r="284" spans="2:3" x14ac:dyDescent="0.2">
      <c r="B284" s="103" t="s">
        <v>815</v>
      </c>
      <c r="C284" s="478">
        <f>15000*40</f>
        <v>600000</v>
      </c>
    </row>
    <row r="285" spans="2:3" x14ac:dyDescent="0.2">
      <c r="B285" s="656" t="s">
        <v>821</v>
      </c>
      <c r="C285" s="478">
        <f>2500*40</f>
        <v>100000</v>
      </c>
    </row>
    <row r="286" spans="2:3" x14ac:dyDescent="0.2">
      <c r="B286" s="103" t="s">
        <v>822</v>
      </c>
      <c r="C286" s="478">
        <f>25000*40</f>
        <v>1000000</v>
      </c>
    </row>
    <row r="287" spans="2:3" x14ac:dyDescent="0.2">
      <c r="B287" s="103" t="s">
        <v>823</v>
      </c>
      <c r="C287" s="478">
        <v>100000</v>
      </c>
    </row>
    <row r="288" spans="2:3" ht="15" x14ac:dyDescent="0.25">
      <c r="B288" s="466" t="s">
        <v>824</v>
      </c>
      <c r="C288" s="480">
        <f>SUM(C283:C287)</f>
        <v>2300000</v>
      </c>
    </row>
    <row r="289" spans="1:6" ht="15" x14ac:dyDescent="0.25">
      <c r="B289" s="466" t="s">
        <v>1228</v>
      </c>
      <c r="C289" s="480">
        <f>C288*20%</f>
        <v>460000</v>
      </c>
    </row>
    <row r="292" spans="1:6" ht="15" x14ac:dyDescent="0.25">
      <c r="B292" s="485" t="s">
        <v>850</v>
      </c>
      <c r="D292" s="40"/>
      <c r="F292" s="432"/>
    </row>
    <row r="293" spans="1:6" ht="15" x14ac:dyDescent="0.25">
      <c r="B293" s="486" t="s">
        <v>851</v>
      </c>
      <c r="C293" s="487" t="s">
        <v>852</v>
      </c>
      <c r="D293" s="487" t="s">
        <v>853</v>
      </c>
      <c r="F293" s="432"/>
    </row>
    <row r="294" spans="1:6" x14ac:dyDescent="0.2">
      <c r="B294" s="431">
        <v>2022</v>
      </c>
      <c r="C294" s="53">
        <v>3913.49</v>
      </c>
      <c r="D294" s="53">
        <v>4394.3</v>
      </c>
      <c r="F294" s="432"/>
    </row>
    <row r="295" spans="1:6" x14ac:dyDescent="0.2">
      <c r="B295" s="431">
        <v>2021</v>
      </c>
      <c r="C295" s="53">
        <v>3743.09</v>
      </c>
      <c r="D295" s="53">
        <v>4419.5600000000004</v>
      </c>
    </row>
    <row r="296" spans="1:6" x14ac:dyDescent="0.2">
      <c r="B296" s="431">
        <v>2020</v>
      </c>
      <c r="C296" s="53">
        <v>3693.36</v>
      </c>
      <c r="D296" s="53">
        <v>4214.03</v>
      </c>
    </row>
    <row r="297" spans="1:6" ht="15" x14ac:dyDescent="0.25">
      <c r="B297" s="488" t="s">
        <v>854</v>
      </c>
      <c r="C297" s="489">
        <f>AVERAGE(C294:C296)</f>
        <v>3783.3133333333335</v>
      </c>
      <c r="D297" s="489">
        <f>AVERAGE(D294:D296)</f>
        <v>4342.63</v>
      </c>
    </row>
    <row r="298" spans="1:6" ht="15" x14ac:dyDescent="0.25">
      <c r="B298" s="840" t="s">
        <v>1231</v>
      </c>
      <c r="C298" s="841"/>
      <c r="D298" s="841"/>
    </row>
    <row r="300" spans="1:6" ht="15" x14ac:dyDescent="0.25">
      <c r="B300" s="485" t="s">
        <v>855</v>
      </c>
      <c r="C300" s="490"/>
      <c r="D300" s="490"/>
    </row>
    <row r="301" spans="1:6" ht="15" x14ac:dyDescent="0.2">
      <c r="A301" s="40"/>
      <c r="B301" s="491" t="s">
        <v>856</v>
      </c>
      <c r="C301" s="492" t="s">
        <v>54</v>
      </c>
      <c r="D301" s="425"/>
    </row>
    <row r="302" spans="1:6" x14ac:dyDescent="0.2">
      <c r="A302" s="40"/>
      <c r="B302" s="103" t="s">
        <v>857</v>
      </c>
      <c r="C302" s="493">
        <f>C323</f>
        <v>9200000</v>
      </c>
      <c r="D302" s="425"/>
    </row>
    <row r="303" spans="1:6" ht="15" customHeight="1" x14ac:dyDescent="0.2">
      <c r="A303" s="40"/>
      <c r="B303" s="103" t="s">
        <v>858</v>
      </c>
      <c r="C303" s="493">
        <f>C331</f>
        <v>150000</v>
      </c>
      <c r="D303" s="425"/>
    </row>
    <row r="304" spans="1:6" x14ac:dyDescent="0.2">
      <c r="A304" s="40"/>
      <c r="B304" s="103" t="s">
        <v>859</v>
      </c>
      <c r="C304" s="493">
        <f>C335</f>
        <v>15000000</v>
      </c>
      <c r="D304" s="425"/>
    </row>
    <row r="305" spans="1:8" x14ac:dyDescent="0.2">
      <c r="A305" s="40"/>
      <c r="B305" s="103" t="s">
        <v>860</v>
      </c>
      <c r="C305" s="493">
        <f>C336</f>
        <v>8000000</v>
      </c>
      <c r="D305" s="425"/>
    </row>
    <row r="306" spans="1:8" ht="14.1" customHeight="1" x14ac:dyDescent="0.2">
      <c r="A306" s="40"/>
      <c r="B306" s="48" t="s">
        <v>861</v>
      </c>
      <c r="C306" s="494">
        <v>20000000</v>
      </c>
      <c r="D306" s="425"/>
    </row>
    <row r="307" spans="1:8" x14ac:dyDescent="0.2">
      <c r="A307" s="40"/>
      <c r="B307" s="48" t="s">
        <v>862</v>
      </c>
      <c r="C307" s="494">
        <f>C341</f>
        <v>4000000</v>
      </c>
      <c r="D307" s="425"/>
    </row>
    <row r="308" spans="1:8" x14ac:dyDescent="0.2">
      <c r="A308" s="40"/>
      <c r="B308" s="48" t="s">
        <v>863</v>
      </c>
      <c r="C308" s="495">
        <f>C345</f>
        <v>1000000</v>
      </c>
      <c r="D308" s="425"/>
    </row>
    <row r="309" spans="1:8" x14ac:dyDescent="0.2">
      <c r="A309" s="40"/>
      <c r="B309" s="48" t="s">
        <v>864</v>
      </c>
      <c r="C309" s="430">
        <f>E355</f>
        <v>217000000</v>
      </c>
      <c r="D309" s="425"/>
    </row>
    <row r="310" spans="1:8" x14ac:dyDescent="0.2">
      <c r="A310" s="40"/>
      <c r="B310" s="48" t="s">
        <v>865</v>
      </c>
      <c r="C310" s="493">
        <f>E365</f>
        <v>125500000</v>
      </c>
      <c r="D310" s="425"/>
    </row>
    <row r="311" spans="1:8" x14ac:dyDescent="0.2">
      <c r="A311" s="40"/>
      <c r="B311" s="103" t="s">
        <v>866</v>
      </c>
      <c r="C311" s="493">
        <f>E377</f>
        <v>142800000</v>
      </c>
      <c r="D311" s="425"/>
    </row>
    <row r="312" spans="1:8" x14ac:dyDescent="0.2">
      <c r="A312" s="40"/>
      <c r="B312" s="48" t="s">
        <v>867</v>
      </c>
      <c r="C312" s="496">
        <f>C393</f>
        <v>3500000</v>
      </c>
      <c r="D312" s="425"/>
    </row>
    <row r="313" spans="1:8" x14ac:dyDescent="0.2">
      <c r="A313" s="40"/>
      <c r="B313" s="48" t="s">
        <v>868</v>
      </c>
      <c r="C313" s="493">
        <f>C394</f>
        <v>1500000</v>
      </c>
      <c r="D313" s="425"/>
    </row>
    <row r="314" spans="1:8" x14ac:dyDescent="0.2">
      <c r="A314" s="40"/>
      <c r="B314" s="103" t="str">
        <f>B398</f>
        <v>m. Plan de Medios radial Nacional</v>
      </c>
      <c r="C314" s="493">
        <f>E402</f>
        <v>83600000</v>
      </c>
      <c r="D314" s="425"/>
    </row>
    <row r="315" spans="1:8" ht="12.95" customHeight="1" x14ac:dyDescent="0.2">
      <c r="A315" s="40"/>
      <c r="B315" s="103" t="str">
        <f>B404</f>
        <v>n. Plan de Medios radial regional</v>
      </c>
      <c r="C315" s="493">
        <f>E408</f>
        <v>14500000</v>
      </c>
      <c r="D315" s="425"/>
    </row>
    <row r="316" spans="1:8" x14ac:dyDescent="0.2">
      <c r="D316" s="425"/>
    </row>
    <row r="317" spans="1:8" x14ac:dyDescent="0.2">
      <c r="D317" s="425"/>
      <c r="E317" s="42"/>
      <c r="F317" s="42"/>
      <c r="G317" s="42"/>
      <c r="H317" s="42"/>
    </row>
    <row r="318" spans="1:8" ht="15" x14ac:dyDescent="0.25">
      <c r="B318" s="497" t="s">
        <v>869</v>
      </c>
      <c r="C318" s="498"/>
      <c r="D318" s="425"/>
      <c r="E318" s="425"/>
      <c r="F318" s="425"/>
      <c r="G318" s="425"/>
      <c r="H318" s="425"/>
    </row>
    <row r="319" spans="1:8" ht="15" x14ac:dyDescent="0.25">
      <c r="B319" s="499"/>
      <c r="C319" s="499" t="s">
        <v>54</v>
      </c>
      <c r="D319" s="425"/>
      <c r="E319" s="425"/>
      <c r="F319" s="425"/>
      <c r="G319" s="425"/>
      <c r="H319" s="425"/>
    </row>
    <row r="320" spans="1:8" x14ac:dyDescent="0.2">
      <c r="B320" s="103" t="s">
        <v>870</v>
      </c>
      <c r="C320" s="478">
        <v>5900000</v>
      </c>
      <c r="D320" s="425"/>
      <c r="E320" s="425"/>
      <c r="F320" s="425"/>
      <c r="G320" s="425"/>
      <c r="H320" s="425"/>
    </row>
    <row r="321" spans="2:8" x14ac:dyDescent="0.2">
      <c r="B321" s="103" t="s">
        <v>871</v>
      </c>
      <c r="C321" s="478">
        <v>15400000</v>
      </c>
      <c r="D321" s="425"/>
      <c r="E321" s="425"/>
      <c r="F321" s="425"/>
      <c r="G321" s="425"/>
      <c r="H321" s="425"/>
    </row>
    <row r="322" spans="2:8" x14ac:dyDescent="0.2">
      <c r="B322" s="103" t="s">
        <v>872</v>
      </c>
      <c r="C322" s="478">
        <v>6300000</v>
      </c>
      <c r="D322" s="425"/>
      <c r="E322" s="425"/>
      <c r="F322" s="425"/>
      <c r="G322" s="425"/>
      <c r="H322" s="425"/>
    </row>
    <row r="323" spans="2:8" ht="15" x14ac:dyDescent="0.25">
      <c r="B323" s="424" t="s">
        <v>57</v>
      </c>
      <c r="C323" s="500">
        <f>AVERAGE(C320:C322)</f>
        <v>9200000</v>
      </c>
      <c r="D323" s="425"/>
      <c r="E323" s="425"/>
      <c r="F323" s="425"/>
      <c r="G323" s="425"/>
      <c r="H323" s="425"/>
    </row>
    <row r="324" spans="2:8" x14ac:dyDescent="0.2">
      <c r="B324" s="101" t="s">
        <v>873</v>
      </c>
      <c r="C324" s="432"/>
      <c r="H324" s="42"/>
    </row>
    <row r="325" spans="2:8" x14ac:dyDescent="0.2">
      <c r="D325" s="425"/>
      <c r="E325" s="42"/>
      <c r="F325" s="42"/>
      <c r="G325" s="42"/>
      <c r="H325" s="42"/>
    </row>
    <row r="326" spans="2:8" x14ac:dyDescent="0.2">
      <c r="C326" s="432"/>
      <c r="F326" s="42"/>
      <c r="G326" s="42"/>
      <c r="H326" s="42"/>
    </row>
    <row r="327" spans="2:8" ht="15" x14ac:dyDescent="0.25">
      <c r="B327" s="842" t="s">
        <v>874</v>
      </c>
      <c r="C327" s="842"/>
      <c r="D327" s="425"/>
      <c r="E327" s="425"/>
      <c r="F327" s="425"/>
      <c r="G327" s="42"/>
      <c r="H327" s="42"/>
    </row>
    <row r="328" spans="2:8" ht="15" x14ac:dyDescent="0.25">
      <c r="B328" s="501" t="s">
        <v>875</v>
      </c>
      <c r="C328" s="501" t="s">
        <v>54</v>
      </c>
      <c r="D328" s="425"/>
      <c r="E328" s="425"/>
      <c r="F328" s="425"/>
    </row>
    <row r="329" spans="2:8" x14ac:dyDescent="0.2">
      <c r="B329" s="48" t="s">
        <v>876</v>
      </c>
      <c r="C329" s="496">
        <v>130000</v>
      </c>
      <c r="D329" s="425"/>
      <c r="E329" s="425"/>
      <c r="F329" s="425"/>
    </row>
    <row r="330" spans="2:8" x14ac:dyDescent="0.2">
      <c r="B330" s="103" t="s">
        <v>877</v>
      </c>
      <c r="C330" s="493">
        <v>170000</v>
      </c>
      <c r="D330" s="425"/>
      <c r="E330" s="425"/>
      <c r="F330" s="425"/>
    </row>
    <row r="331" spans="2:8" ht="15" x14ac:dyDescent="0.25">
      <c r="B331" s="424" t="s">
        <v>878</v>
      </c>
      <c r="C331" s="502">
        <f>AVERAGE(C329:C330)</f>
        <v>150000</v>
      </c>
      <c r="D331" s="425"/>
      <c r="E331" s="425"/>
      <c r="F331" s="425"/>
    </row>
    <row r="332" spans="2:8" x14ac:dyDescent="0.2">
      <c r="B332" s="101" t="s">
        <v>873</v>
      </c>
    </row>
    <row r="333" spans="2:8" x14ac:dyDescent="0.2">
      <c r="B333" s="42"/>
      <c r="C333" s="42"/>
      <c r="D333" s="42"/>
      <c r="E333" s="42"/>
    </row>
    <row r="334" spans="2:8" ht="15" x14ac:dyDescent="0.25">
      <c r="B334" s="503" t="s">
        <v>879</v>
      </c>
      <c r="C334" s="503" t="s">
        <v>54</v>
      </c>
      <c r="D334" s="42"/>
      <c r="E334" s="42"/>
    </row>
    <row r="335" spans="2:8" x14ac:dyDescent="0.2">
      <c r="B335" s="103" t="s">
        <v>880</v>
      </c>
      <c r="C335" s="504">
        <v>15000000</v>
      </c>
      <c r="D335" s="42"/>
      <c r="E335" s="42"/>
    </row>
    <row r="336" spans="2:8" x14ac:dyDescent="0.2">
      <c r="B336" s="103" t="s">
        <v>881</v>
      </c>
      <c r="C336" s="504">
        <v>8000000</v>
      </c>
      <c r="D336" s="42"/>
      <c r="E336" s="42"/>
    </row>
    <row r="337" spans="2:5" x14ac:dyDescent="0.2">
      <c r="B337" s="843" t="s">
        <v>882</v>
      </c>
      <c r="C337" s="843"/>
      <c r="D337" s="42"/>
      <c r="E337" s="42"/>
    </row>
    <row r="338" spans="2:5" x14ac:dyDescent="0.2">
      <c r="B338" s="505"/>
      <c r="C338" s="505"/>
      <c r="D338" s="42"/>
      <c r="E338" s="42"/>
    </row>
    <row r="339" spans="2:5" ht="15" x14ac:dyDescent="0.25">
      <c r="B339" s="503" t="s">
        <v>883</v>
      </c>
      <c r="C339" s="503" t="s">
        <v>54</v>
      </c>
      <c r="D339" s="42"/>
      <c r="E339" s="42"/>
    </row>
    <row r="340" spans="2:5" x14ac:dyDescent="0.2">
      <c r="B340" s="48" t="s">
        <v>861</v>
      </c>
      <c r="C340" s="506">
        <v>10000000</v>
      </c>
      <c r="D340" s="42"/>
      <c r="E340" s="42"/>
    </row>
    <row r="341" spans="2:5" x14ac:dyDescent="0.2">
      <c r="B341" s="48" t="s">
        <v>862</v>
      </c>
      <c r="C341" s="506">
        <v>4000000</v>
      </c>
      <c r="D341" s="42"/>
      <c r="E341" s="42"/>
    </row>
    <row r="342" spans="2:5" x14ac:dyDescent="0.2">
      <c r="B342" s="826" t="s">
        <v>884</v>
      </c>
      <c r="C342" s="826"/>
      <c r="D342" s="42"/>
      <c r="E342" s="42"/>
    </row>
    <row r="343" spans="2:5" x14ac:dyDescent="0.2">
      <c r="B343" s="507"/>
      <c r="C343" s="507"/>
      <c r="D343" s="42"/>
      <c r="E343" s="42"/>
    </row>
    <row r="344" spans="2:5" ht="15" x14ac:dyDescent="0.25">
      <c r="B344" s="503" t="s">
        <v>885</v>
      </c>
      <c r="C344" s="503" t="s">
        <v>54</v>
      </c>
      <c r="D344" s="42"/>
      <c r="E344" s="42"/>
    </row>
    <row r="345" spans="2:5" x14ac:dyDescent="0.2">
      <c r="B345" s="48" t="s">
        <v>863</v>
      </c>
      <c r="C345" s="506">
        <v>1000000</v>
      </c>
      <c r="D345" s="42"/>
      <c r="E345" s="42"/>
    </row>
    <row r="346" spans="2:5" x14ac:dyDescent="0.2">
      <c r="B346" s="505" t="s">
        <v>886</v>
      </c>
      <c r="C346" s="505"/>
      <c r="D346" s="42"/>
      <c r="E346" s="42"/>
    </row>
    <row r="347" spans="2:5" x14ac:dyDescent="0.2">
      <c r="B347" s="505"/>
      <c r="C347" s="505"/>
      <c r="D347" s="42"/>
      <c r="E347" s="42"/>
    </row>
    <row r="348" spans="2:5" ht="15" x14ac:dyDescent="0.25">
      <c r="B348" s="466" t="s">
        <v>887</v>
      </c>
      <c r="C348" s="508" t="s">
        <v>58</v>
      </c>
      <c r="D348" s="508" t="s">
        <v>54</v>
      </c>
      <c r="E348" s="508" t="s">
        <v>32</v>
      </c>
    </row>
    <row r="349" spans="2:5" x14ac:dyDescent="0.2">
      <c r="B349" s="478" t="s">
        <v>888</v>
      </c>
      <c r="C349" s="478">
        <v>4</v>
      </c>
      <c r="D349" s="478">
        <f>5000000</f>
        <v>5000000</v>
      </c>
      <c r="E349" s="478">
        <f t="shared" ref="E349:E354" si="0">C349*D349</f>
        <v>20000000</v>
      </c>
    </row>
    <row r="350" spans="2:5" x14ac:dyDescent="0.2">
      <c r="B350" s="478" t="s">
        <v>889</v>
      </c>
      <c r="C350" s="478">
        <v>2000</v>
      </c>
      <c r="D350" s="478">
        <v>500</v>
      </c>
      <c r="E350" s="478">
        <f t="shared" si="0"/>
        <v>1000000</v>
      </c>
    </row>
    <row r="351" spans="2:5" x14ac:dyDescent="0.2">
      <c r="B351" s="478" t="s">
        <v>890</v>
      </c>
      <c r="C351" s="478">
        <v>5</v>
      </c>
      <c r="D351" s="478">
        <f>C302</f>
        <v>9200000</v>
      </c>
      <c r="E351" s="478">
        <f t="shared" si="0"/>
        <v>46000000</v>
      </c>
    </row>
    <row r="352" spans="2:5" x14ac:dyDescent="0.2">
      <c r="B352" s="478" t="s">
        <v>891</v>
      </c>
      <c r="C352" s="478">
        <v>2</v>
      </c>
      <c r="D352" s="478">
        <f>C306</f>
        <v>20000000</v>
      </c>
      <c r="E352" s="478">
        <f t="shared" si="0"/>
        <v>40000000</v>
      </c>
    </row>
    <row r="353" spans="2:5" x14ac:dyDescent="0.2">
      <c r="B353" s="478" t="s">
        <v>59</v>
      </c>
      <c r="C353" s="478">
        <v>1</v>
      </c>
      <c r="D353" s="478">
        <v>50000000</v>
      </c>
      <c r="E353" s="478">
        <f t="shared" si="0"/>
        <v>50000000</v>
      </c>
    </row>
    <row r="354" spans="2:5" x14ac:dyDescent="0.2">
      <c r="B354" s="103" t="s">
        <v>879</v>
      </c>
      <c r="C354" s="478">
        <v>4</v>
      </c>
      <c r="D354" s="478">
        <f>C304</f>
        <v>15000000</v>
      </c>
      <c r="E354" s="478">
        <f t="shared" si="0"/>
        <v>60000000</v>
      </c>
    </row>
    <row r="355" spans="2:5" ht="15" x14ac:dyDescent="0.25">
      <c r="B355" s="509" t="s">
        <v>892</v>
      </c>
      <c r="C355" s="509"/>
      <c r="D355" s="509"/>
      <c r="E355" s="510">
        <f>SUM(E349:E354)</f>
        <v>217000000</v>
      </c>
    </row>
    <row r="356" spans="2:5" s="102" customFormat="1" ht="15" x14ac:dyDescent="0.25">
      <c r="B356" s="49" t="s">
        <v>893</v>
      </c>
      <c r="C356" s="49"/>
      <c r="D356" s="49"/>
      <c r="E356" s="511" t="s">
        <v>894</v>
      </c>
    </row>
    <row r="357" spans="2:5" x14ac:dyDescent="0.2">
      <c r="B357" s="505"/>
      <c r="C357" s="505"/>
      <c r="D357" s="42"/>
      <c r="E357" s="42"/>
    </row>
    <row r="358" spans="2:5" ht="15" x14ac:dyDescent="0.25">
      <c r="B358" s="466" t="s">
        <v>895</v>
      </c>
      <c r="C358" s="508" t="s">
        <v>58</v>
      </c>
      <c r="D358" s="508" t="s">
        <v>54</v>
      </c>
      <c r="E358" s="508" t="s">
        <v>32</v>
      </c>
    </row>
    <row r="359" spans="2:5" x14ac:dyDescent="0.2">
      <c r="B359" s="478" t="s">
        <v>888</v>
      </c>
      <c r="C359" s="478">
        <v>2</v>
      </c>
      <c r="D359" s="478">
        <v>5000000</v>
      </c>
      <c r="E359" s="478">
        <f t="shared" ref="E359:E364" si="1">C359*D359</f>
        <v>10000000</v>
      </c>
    </row>
    <row r="360" spans="2:5" x14ac:dyDescent="0.2">
      <c r="B360" s="478" t="s">
        <v>889</v>
      </c>
      <c r="C360" s="478">
        <v>10000</v>
      </c>
      <c r="D360" s="478">
        <v>500</v>
      </c>
      <c r="E360" s="478">
        <f t="shared" si="1"/>
        <v>5000000</v>
      </c>
    </row>
    <row r="361" spans="2:5" x14ac:dyDescent="0.2">
      <c r="B361" s="478" t="s">
        <v>896</v>
      </c>
      <c r="C361" s="478">
        <v>30</v>
      </c>
      <c r="D361" s="478">
        <f>C303</f>
        <v>150000</v>
      </c>
      <c r="E361" s="478">
        <f t="shared" si="1"/>
        <v>4500000</v>
      </c>
    </row>
    <row r="362" spans="2:5" x14ac:dyDescent="0.2">
      <c r="B362" s="478" t="s">
        <v>59</v>
      </c>
      <c r="C362" s="478">
        <v>4</v>
      </c>
      <c r="D362" s="478">
        <v>5000000</v>
      </c>
      <c r="E362" s="478">
        <f t="shared" si="1"/>
        <v>20000000</v>
      </c>
    </row>
    <row r="363" spans="2:5" x14ac:dyDescent="0.2">
      <c r="B363" s="478" t="s">
        <v>897</v>
      </c>
      <c r="C363" s="478">
        <v>12</v>
      </c>
      <c r="D363" s="478">
        <f>C307</f>
        <v>4000000</v>
      </c>
      <c r="E363" s="478">
        <f t="shared" si="1"/>
        <v>48000000</v>
      </c>
    </row>
    <row r="364" spans="2:5" x14ac:dyDescent="0.2">
      <c r="B364" s="103" t="s">
        <v>898</v>
      </c>
      <c r="C364" s="478">
        <v>6</v>
      </c>
      <c r="D364" s="512">
        <f>C305</f>
        <v>8000000</v>
      </c>
      <c r="E364" s="478">
        <f t="shared" si="1"/>
        <v>48000000</v>
      </c>
    </row>
    <row r="365" spans="2:5" ht="15" x14ac:dyDescent="0.25">
      <c r="B365" s="509" t="s">
        <v>899</v>
      </c>
      <c r="C365" s="509"/>
      <c r="D365" s="509"/>
      <c r="E365" s="510">
        <f>SUM(E360:E364)</f>
        <v>125500000</v>
      </c>
    </row>
    <row r="366" spans="2:5" s="102" customFormat="1" ht="15" x14ac:dyDescent="0.25">
      <c r="B366" s="49" t="s">
        <v>900</v>
      </c>
      <c r="C366" s="49"/>
      <c r="D366" s="49"/>
      <c r="E366" s="511"/>
    </row>
    <row r="367" spans="2:5" x14ac:dyDescent="0.2">
      <c r="B367" s="505"/>
      <c r="C367" s="505"/>
      <c r="D367" s="42"/>
      <c r="E367" s="42"/>
    </row>
    <row r="368" spans="2:5" ht="15" x14ac:dyDescent="0.25">
      <c r="B368" s="845" t="s">
        <v>901</v>
      </c>
      <c r="C368" s="846"/>
    </row>
    <row r="369" spans="1:7" ht="15" x14ac:dyDescent="0.25">
      <c r="B369" s="509" t="s">
        <v>856</v>
      </c>
      <c r="C369" s="513" t="s">
        <v>58</v>
      </c>
      <c r="D369" s="513" t="s">
        <v>54</v>
      </c>
      <c r="E369" s="513" t="s">
        <v>32</v>
      </c>
    </row>
    <row r="370" spans="1:7" x14ac:dyDescent="0.2">
      <c r="B370" s="478" t="s">
        <v>888</v>
      </c>
      <c r="C370" s="478">
        <v>2</v>
      </c>
      <c r="D370" s="478">
        <v>5000000</v>
      </c>
      <c r="E370" s="478">
        <f t="shared" ref="E370:E376" si="2">C370*D370</f>
        <v>10000000</v>
      </c>
    </row>
    <row r="371" spans="1:7" x14ac:dyDescent="0.2">
      <c r="B371" s="478" t="s">
        <v>889</v>
      </c>
      <c r="C371" s="478">
        <v>2000</v>
      </c>
      <c r="D371" s="478">
        <v>500</v>
      </c>
      <c r="E371" s="478">
        <f t="shared" si="2"/>
        <v>1000000</v>
      </c>
    </row>
    <row r="372" spans="1:7" x14ac:dyDescent="0.2">
      <c r="B372" s="478" t="s">
        <v>902</v>
      </c>
      <c r="C372" s="478">
        <v>4</v>
      </c>
      <c r="D372" s="478">
        <f>C302</f>
        <v>9200000</v>
      </c>
      <c r="E372" s="478">
        <f t="shared" si="2"/>
        <v>36800000</v>
      </c>
    </row>
    <row r="373" spans="1:7" x14ac:dyDescent="0.2">
      <c r="B373" s="478" t="s">
        <v>59</v>
      </c>
      <c r="C373" s="478">
        <v>8</v>
      </c>
      <c r="D373" s="478">
        <v>5000000</v>
      </c>
      <c r="E373" s="478">
        <v>10000000</v>
      </c>
    </row>
    <row r="374" spans="1:7" x14ac:dyDescent="0.2">
      <c r="B374" s="478" t="s">
        <v>903</v>
      </c>
      <c r="C374" s="478">
        <v>2</v>
      </c>
      <c r="D374" s="478">
        <f>C306</f>
        <v>20000000</v>
      </c>
      <c r="E374" s="478">
        <f t="shared" si="2"/>
        <v>40000000</v>
      </c>
    </row>
    <row r="375" spans="1:7" x14ac:dyDescent="0.2">
      <c r="B375" s="103" t="s">
        <v>904</v>
      </c>
      <c r="C375" s="478">
        <v>2</v>
      </c>
      <c r="D375" s="512">
        <f>C335</f>
        <v>15000000</v>
      </c>
      <c r="E375" s="478">
        <f t="shared" si="2"/>
        <v>30000000</v>
      </c>
    </row>
    <row r="376" spans="1:7" x14ac:dyDescent="0.2">
      <c r="B376" s="103" t="s">
        <v>905</v>
      </c>
      <c r="C376" s="478">
        <v>1000</v>
      </c>
      <c r="D376" s="512">
        <v>15000</v>
      </c>
      <c r="E376" s="478">
        <f t="shared" si="2"/>
        <v>15000000</v>
      </c>
    </row>
    <row r="377" spans="1:7" ht="15" x14ac:dyDescent="0.25">
      <c r="B377" s="509" t="s">
        <v>906</v>
      </c>
      <c r="C377" s="509"/>
      <c r="D377" s="509"/>
      <c r="E377" s="510">
        <f>SUM(E370:E376)</f>
        <v>142800000</v>
      </c>
    </row>
    <row r="378" spans="1:7" s="102" customFormat="1" ht="15" x14ac:dyDescent="0.25">
      <c r="A378" s="101"/>
      <c r="B378" s="49" t="s">
        <v>907</v>
      </c>
      <c r="C378" s="101"/>
      <c r="D378" s="101"/>
      <c r="E378" s="101"/>
      <c r="F378" s="101"/>
    </row>
    <row r="379" spans="1:7" s="102" customFormat="1" x14ac:dyDescent="0.2">
      <c r="A379" s="101"/>
      <c r="B379" s="514"/>
      <c r="C379" s="515"/>
      <c r="D379" s="516"/>
      <c r="E379" s="516"/>
      <c r="F379" s="517"/>
      <c r="G379" s="517"/>
    </row>
    <row r="380" spans="1:7" ht="15" x14ac:dyDescent="0.25">
      <c r="B380" s="845" t="s">
        <v>908</v>
      </c>
      <c r="C380" s="846"/>
    </row>
    <row r="381" spans="1:7" ht="15" x14ac:dyDescent="0.25">
      <c r="B381" s="509" t="s">
        <v>856</v>
      </c>
      <c r="C381" s="513" t="s">
        <v>58</v>
      </c>
      <c r="D381" s="513" t="s">
        <v>54</v>
      </c>
      <c r="E381" s="513" t="s">
        <v>32</v>
      </c>
    </row>
    <row r="382" spans="1:7" x14ac:dyDescent="0.2">
      <c r="B382" s="478" t="s">
        <v>888</v>
      </c>
      <c r="C382" s="478">
        <v>2</v>
      </c>
      <c r="D382" s="478">
        <v>5000000</v>
      </c>
      <c r="E382" s="478">
        <f t="shared" ref="E382:E388" si="3">C382*D382</f>
        <v>10000000</v>
      </c>
    </row>
    <row r="383" spans="1:7" x14ac:dyDescent="0.2">
      <c r="B383" s="478" t="s">
        <v>889</v>
      </c>
      <c r="C383" s="478">
        <v>10000</v>
      </c>
      <c r="D383" s="478">
        <v>500</v>
      </c>
      <c r="E383" s="478">
        <f t="shared" si="3"/>
        <v>5000000</v>
      </c>
    </row>
    <row r="384" spans="1:7" x14ac:dyDescent="0.2">
      <c r="B384" s="478" t="s">
        <v>909</v>
      </c>
      <c r="C384" s="478">
        <v>20</v>
      </c>
      <c r="D384" s="478">
        <f>C303</f>
        <v>150000</v>
      </c>
      <c r="E384" s="478">
        <f t="shared" si="3"/>
        <v>3000000</v>
      </c>
    </row>
    <row r="385" spans="1:6" x14ac:dyDescent="0.2">
      <c r="B385" s="478" t="s">
        <v>59</v>
      </c>
      <c r="C385" s="478">
        <v>1</v>
      </c>
      <c r="D385" s="478">
        <v>5000000</v>
      </c>
      <c r="E385" s="478">
        <f t="shared" si="3"/>
        <v>5000000</v>
      </c>
    </row>
    <row r="386" spans="1:6" x14ac:dyDescent="0.2">
      <c r="B386" s="478" t="s">
        <v>897</v>
      </c>
      <c r="C386" s="478">
        <v>12</v>
      </c>
      <c r="D386" s="478">
        <f>C307</f>
        <v>4000000</v>
      </c>
      <c r="E386" s="478">
        <f t="shared" si="3"/>
        <v>48000000</v>
      </c>
    </row>
    <row r="387" spans="1:6" x14ac:dyDescent="0.2">
      <c r="B387" s="103" t="s">
        <v>910</v>
      </c>
      <c r="C387" s="478">
        <v>4</v>
      </c>
      <c r="D387" s="512">
        <f>C305</f>
        <v>8000000</v>
      </c>
      <c r="E387" s="478">
        <f t="shared" si="3"/>
        <v>32000000</v>
      </c>
    </row>
    <row r="388" spans="1:6" x14ac:dyDescent="0.2">
      <c r="B388" s="103" t="s">
        <v>905</v>
      </c>
      <c r="C388" s="478">
        <v>500</v>
      </c>
      <c r="D388" s="512">
        <v>15000</v>
      </c>
      <c r="E388" s="478">
        <f t="shared" si="3"/>
        <v>7500000</v>
      </c>
    </row>
    <row r="389" spans="1:6" ht="15" x14ac:dyDescent="0.25">
      <c r="B389" s="509" t="s">
        <v>906</v>
      </c>
      <c r="C389" s="509"/>
      <c r="D389" s="509"/>
      <c r="E389" s="510">
        <f>SUM(E382:E388)</f>
        <v>110500000</v>
      </c>
    </row>
    <row r="390" spans="1:6" s="102" customFormat="1" ht="15" x14ac:dyDescent="0.25">
      <c r="A390" s="101"/>
      <c r="B390" s="49" t="s">
        <v>907</v>
      </c>
      <c r="C390" s="101"/>
      <c r="D390" s="101"/>
      <c r="E390" s="101"/>
      <c r="F390" s="101"/>
    </row>
    <row r="391" spans="1:6" s="102" customFormat="1" ht="15" x14ac:dyDescent="0.25">
      <c r="A391" s="101"/>
      <c r="B391" s="49"/>
      <c r="C391" s="101"/>
      <c r="D391" s="101"/>
      <c r="E391" s="101"/>
      <c r="F391" s="101"/>
    </row>
    <row r="392" spans="1:6" s="102" customFormat="1" ht="15" x14ac:dyDescent="0.25">
      <c r="A392" s="101"/>
      <c r="B392" s="466" t="s">
        <v>1238</v>
      </c>
      <c r="C392" s="508" t="s">
        <v>54</v>
      </c>
      <c r="D392" s="516"/>
      <c r="E392" s="516"/>
      <c r="F392" s="101"/>
    </row>
    <row r="393" spans="1:6" s="102" customFormat="1" x14ac:dyDescent="0.2">
      <c r="A393" s="101"/>
      <c r="B393" s="448" t="s">
        <v>911</v>
      </c>
      <c r="C393" s="478">
        <v>3500000</v>
      </c>
      <c r="D393" s="516"/>
      <c r="E393" s="516"/>
      <c r="F393" s="101"/>
    </row>
    <row r="394" spans="1:6" s="102" customFormat="1" x14ac:dyDescent="0.2">
      <c r="A394" s="101"/>
      <c r="B394" s="103" t="s">
        <v>912</v>
      </c>
      <c r="C394" s="478">
        <v>1500000</v>
      </c>
      <c r="D394" s="516"/>
      <c r="E394" s="516"/>
      <c r="F394" s="101"/>
    </row>
    <row r="395" spans="1:6" s="102" customFormat="1" x14ac:dyDescent="0.2">
      <c r="A395" s="101"/>
      <c r="B395" s="828" t="s">
        <v>913</v>
      </c>
      <c r="C395" s="828"/>
      <c r="D395" s="516"/>
      <c r="E395" s="516"/>
      <c r="F395" s="101"/>
    </row>
    <row r="396" spans="1:6" s="102" customFormat="1" x14ac:dyDescent="0.2">
      <c r="A396" s="101"/>
      <c r="B396" s="42"/>
      <c r="C396" s="42"/>
      <c r="D396" s="516"/>
      <c r="E396" s="516"/>
      <c r="F396" s="101"/>
    </row>
    <row r="397" spans="1:6" s="102" customFormat="1" x14ac:dyDescent="0.2">
      <c r="A397" s="101"/>
      <c r="B397" s="42"/>
      <c r="C397" s="42"/>
      <c r="D397" s="516"/>
      <c r="E397" s="516"/>
      <c r="F397" s="101"/>
    </row>
    <row r="398" spans="1:6" s="102" customFormat="1" ht="15" x14ac:dyDescent="0.25">
      <c r="A398" s="101"/>
      <c r="B398" s="845" t="s">
        <v>914</v>
      </c>
      <c r="C398" s="846"/>
      <c r="D398" s="101"/>
      <c r="E398" s="101"/>
      <c r="F398" s="101"/>
    </row>
    <row r="399" spans="1:6" s="102" customFormat="1" ht="15" x14ac:dyDescent="0.25">
      <c r="A399" s="101"/>
      <c r="B399" s="509" t="s">
        <v>915</v>
      </c>
      <c r="C399" s="513" t="s">
        <v>58</v>
      </c>
      <c r="D399" s="513" t="s">
        <v>54</v>
      </c>
      <c r="E399" s="513" t="s">
        <v>32</v>
      </c>
      <c r="F399" s="101"/>
    </row>
    <row r="400" spans="1:6" s="102" customFormat="1" x14ac:dyDescent="0.2">
      <c r="A400" s="101"/>
      <c r="B400" s="448" t="s">
        <v>916</v>
      </c>
      <c r="C400" s="478">
        <v>8</v>
      </c>
      <c r="D400" s="478">
        <f>D351</f>
        <v>9200000</v>
      </c>
      <c r="E400" s="478">
        <f>C400*D400</f>
        <v>73600000</v>
      </c>
      <c r="F400" s="101"/>
    </row>
    <row r="401" spans="1:7" s="102" customFormat="1" x14ac:dyDescent="0.2">
      <c r="A401" s="101"/>
      <c r="B401" s="448" t="s">
        <v>59</v>
      </c>
      <c r="C401" s="478">
        <v>1</v>
      </c>
      <c r="D401" s="478">
        <v>10000000</v>
      </c>
      <c r="E401" s="478">
        <f>C401*D401</f>
        <v>10000000</v>
      </c>
      <c r="F401" s="101"/>
    </row>
    <row r="402" spans="1:7" s="102" customFormat="1" ht="15" x14ac:dyDescent="0.25">
      <c r="A402" s="101"/>
      <c r="B402" s="509" t="s">
        <v>917</v>
      </c>
      <c r="C402" s="101"/>
      <c r="D402" s="101"/>
      <c r="E402" s="510">
        <f>SUM(E400:E401)</f>
        <v>83600000</v>
      </c>
      <c r="F402" s="101"/>
    </row>
    <row r="403" spans="1:7" s="102" customFormat="1" ht="15" x14ac:dyDescent="0.25">
      <c r="B403" s="518"/>
      <c r="E403" s="511"/>
    </row>
    <row r="404" spans="1:7" s="102" customFormat="1" ht="15" x14ac:dyDescent="0.25">
      <c r="A404" s="101"/>
      <c r="B404" s="838" t="s">
        <v>918</v>
      </c>
      <c r="C404" s="839"/>
      <c r="D404" s="101"/>
      <c r="E404" s="101"/>
      <c r="F404" s="517"/>
      <c r="G404" s="517"/>
    </row>
    <row r="405" spans="1:7" s="102" customFormat="1" ht="15" x14ac:dyDescent="0.25">
      <c r="A405" s="101"/>
      <c r="B405" s="509" t="s">
        <v>915</v>
      </c>
      <c r="C405" s="513" t="s">
        <v>58</v>
      </c>
      <c r="D405" s="513" t="s">
        <v>54</v>
      </c>
      <c r="E405" s="513" t="s">
        <v>32</v>
      </c>
      <c r="F405" s="517"/>
      <c r="G405" s="517"/>
    </row>
    <row r="406" spans="1:7" s="102" customFormat="1" x14ac:dyDescent="0.2">
      <c r="A406" s="101"/>
      <c r="B406" s="478" t="s">
        <v>909</v>
      </c>
      <c r="C406" s="478">
        <v>30</v>
      </c>
      <c r="D406" s="478">
        <f>C303</f>
        <v>150000</v>
      </c>
      <c r="E406" s="478">
        <f>C406*D406</f>
        <v>4500000</v>
      </c>
      <c r="F406" s="517"/>
      <c r="G406" s="517"/>
    </row>
    <row r="407" spans="1:7" s="102" customFormat="1" x14ac:dyDescent="0.2">
      <c r="A407" s="101"/>
      <c r="B407" s="478" t="s">
        <v>59</v>
      </c>
      <c r="C407" s="478">
        <v>1</v>
      </c>
      <c r="D407" s="478">
        <v>10000000</v>
      </c>
      <c r="E407" s="478">
        <f>C407*D407</f>
        <v>10000000</v>
      </c>
      <c r="F407" s="42"/>
      <c r="G407" s="42"/>
    </row>
    <row r="408" spans="1:7" s="102" customFormat="1" ht="15" x14ac:dyDescent="0.25">
      <c r="A408" s="101"/>
      <c r="B408" s="509" t="s">
        <v>60</v>
      </c>
      <c r="C408" s="101"/>
      <c r="D408" s="101"/>
      <c r="E408" s="510">
        <f>SUM(E406:E407)</f>
        <v>14500000</v>
      </c>
      <c r="F408" s="101"/>
    </row>
    <row r="409" spans="1:7" s="102" customFormat="1" x14ac:dyDescent="0.2">
      <c r="A409" s="101"/>
      <c r="B409" s="515"/>
      <c r="C409" s="515"/>
      <c r="D409" s="516"/>
      <c r="E409" s="516"/>
      <c r="F409" s="42"/>
      <c r="G409" s="42"/>
    </row>
    <row r="410" spans="1:7" s="102" customFormat="1" ht="15" x14ac:dyDescent="0.25">
      <c r="A410" s="101"/>
      <c r="B410" s="838" t="s">
        <v>919</v>
      </c>
      <c r="C410" s="839"/>
      <c r="D410" s="101"/>
      <c r="E410" s="101"/>
      <c r="F410" s="517"/>
      <c r="G410" s="517"/>
    </row>
    <row r="411" spans="1:7" s="102" customFormat="1" ht="15" x14ac:dyDescent="0.25">
      <c r="A411" s="101"/>
      <c r="B411" s="509" t="s">
        <v>915</v>
      </c>
      <c r="C411" s="513" t="s">
        <v>58</v>
      </c>
      <c r="D411" s="513" t="s">
        <v>54</v>
      </c>
      <c r="E411" s="513" t="s">
        <v>32</v>
      </c>
      <c r="F411" s="517"/>
      <c r="G411" s="517"/>
    </row>
    <row r="412" spans="1:7" s="102" customFormat="1" x14ac:dyDescent="0.2">
      <c r="A412" s="101"/>
      <c r="B412" s="478" t="s">
        <v>916</v>
      </c>
      <c r="C412" s="478"/>
      <c r="D412" s="478"/>
      <c r="E412" s="478"/>
      <c r="F412" s="517"/>
      <c r="G412" s="517"/>
    </row>
    <row r="413" spans="1:7" s="102" customFormat="1" x14ac:dyDescent="0.2">
      <c r="A413" s="101"/>
      <c r="B413" s="478" t="s">
        <v>909</v>
      </c>
      <c r="C413" s="478">
        <v>30</v>
      </c>
      <c r="D413" s="478">
        <f>C309</f>
        <v>217000000</v>
      </c>
      <c r="E413" s="478">
        <f>C413*D413</f>
        <v>6510000000</v>
      </c>
      <c r="F413" s="517"/>
      <c r="G413" s="517"/>
    </row>
    <row r="414" spans="1:7" s="102" customFormat="1" x14ac:dyDescent="0.2">
      <c r="A414" s="101"/>
      <c r="B414" s="478"/>
      <c r="C414" s="478"/>
      <c r="D414" s="478"/>
      <c r="E414" s="478"/>
      <c r="F414" s="517"/>
      <c r="G414" s="517"/>
    </row>
    <row r="415" spans="1:7" s="102" customFormat="1" x14ac:dyDescent="0.2">
      <c r="A415" s="101"/>
      <c r="B415" s="478" t="s">
        <v>59</v>
      </c>
      <c r="C415" s="478">
        <v>1</v>
      </c>
      <c r="D415" s="478">
        <v>10000000</v>
      </c>
      <c r="E415" s="478">
        <f>C415*D415</f>
        <v>10000000</v>
      </c>
      <c r="F415" s="42"/>
      <c r="G415" s="42"/>
    </row>
    <row r="416" spans="1:7" s="102" customFormat="1" ht="15" x14ac:dyDescent="0.25">
      <c r="A416" s="101"/>
      <c r="B416" s="509" t="s">
        <v>60</v>
      </c>
      <c r="C416" s="101"/>
      <c r="D416" s="101"/>
      <c r="E416" s="510">
        <f>SUM(E413:E415)</f>
        <v>6520000000</v>
      </c>
      <c r="F416" s="101"/>
    </row>
    <row r="417" spans="1:17" s="102" customFormat="1" x14ac:dyDescent="0.2">
      <c r="A417" s="101"/>
      <c r="B417" s="42"/>
      <c r="C417" s="42"/>
      <c r="D417" s="516"/>
      <c r="E417" s="516"/>
      <c r="F417" s="101"/>
    </row>
    <row r="418" spans="1:17" s="102" customFormat="1" x14ac:dyDescent="0.2">
      <c r="A418" s="101"/>
      <c r="B418" s="42"/>
      <c r="C418" s="42"/>
      <c r="D418" s="516"/>
      <c r="E418" s="516"/>
      <c r="F418" s="101"/>
    </row>
    <row r="419" spans="1:17" s="102" customFormat="1" ht="15" x14ac:dyDescent="0.25">
      <c r="A419" s="101"/>
      <c r="B419" s="509" t="s">
        <v>920</v>
      </c>
      <c r="C419" s="101"/>
      <c r="D419" s="516"/>
      <c r="E419" s="516"/>
      <c r="F419" s="101"/>
    </row>
    <row r="420" spans="1:17" s="102" customFormat="1" x14ac:dyDescent="0.2">
      <c r="A420" s="101"/>
      <c r="B420" s="103" t="str">
        <f>B427</f>
        <v>a. Rueda de negocio nacional y regional presencial</v>
      </c>
      <c r="C420" s="478">
        <f>C437</f>
        <v>52200000</v>
      </c>
      <c r="D420" s="101"/>
      <c r="E420" s="101"/>
      <c r="F420" s="101"/>
    </row>
    <row r="421" spans="1:17" s="102" customFormat="1" x14ac:dyDescent="0.2">
      <c r="A421" s="101"/>
      <c r="B421" s="103" t="str">
        <f>B441</f>
        <v>b Rueda de negocio  virtual</v>
      </c>
      <c r="C421" s="478">
        <f>C445</f>
        <v>20000000</v>
      </c>
      <c r="D421" s="101"/>
      <c r="E421" s="101"/>
      <c r="F421" s="101"/>
    </row>
    <row r="422" spans="1:17" s="102" customFormat="1" x14ac:dyDescent="0.2">
      <c r="A422" s="101"/>
      <c r="B422" s="103" t="str">
        <f>B448</f>
        <v xml:space="preserve">c. Participación en ferias comerciales </v>
      </c>
      <c r="C422" s="512">
        <f>C452</f>
        <v>18000000</v>
      </c>
      <c r="D422" s="101"/>
      <c r="E422" s="101"/>
      <c r="F422" s="101"/>
    </row>
    <row r="423" spans="1:17" s="102" customFormat="1" x14ac:dyDescent="0.2">
      <c r="A423" s="101"/>
      <c r="B423" s="103" t="str">
        <f>B455</f>
        <v>d. Participación en ferias comerciales internacionales</v>
      </c>
      <c r="C423" s="512">
        <f>C460</f>
        <v>45000000</v>
      </c>
      <c r="D423" s="101"/>
      <c r="E423" s="101"/>
      <c r="F423" s="101"/>
    </row>
    <row r="424" spans="1:17" s="102" customFormat="1" x14ac:dyDescent="0.2">
      <c r="A424" s="101"/>
      <c r="B424" s="103" t="s">
        <v>921</v>
      </c>
      <c r="C424" s="512">
        <v>5000000</v>
      </c>
      <c r="D424" s="516"/>
      <c r="E424" s="516"/>
      <c r="F424" s="42"/>
      <c r="G424" s="42"/>
    </row>
    <row r="425" spans="1:17" s="102" customFormat="1" x14ac:dyDescent="0.2">
      <c r="A425" s="101"/>
      <c r="B425" s="516"/>
      <c r="C425" s="516"/>
      <c r="D425" s="516"/>
      <c r="E425" s="516"/>
      <c r="F425" s="42"/>
      <c r="G425" s="42"/>
    </row>
    <row r="426" spans="1:17" s="102" customFormat="1" x14ac:dyDescent="0.2">
      <c r="A426" s="101"/>
      <c r="B426" s="515"/>
      <c r="C426" s="515"/>
      <c r="D426" s="516"/>
      <c r="E426" s="516"/>
      <c r="F426" s="42"/>
      <c r="G426" s="42"/>
    </row>
    <row r="427" spans="1:17" ht="15" x14ac:dyDescent="0.25">
      <c r="B427" s="509" t="s">
        <v>922</v>
      </c>
      <c r="J427" s="102"/>
      <c r="K427" s="102"/>
      <c r="L427" s="102"/>
      <c r="M427" s="102"/>
      <c r="N427" s="102"/>
      <c r="O427" s="102"/>
      <c r="P427" s="102"/>
      <c r="Q427" s="102"/>
    </row>
    <row r="428" spans="1:17" x14ac:dyDescent="0.2">
      <c r="B428" s="103" t="s">
        <v>923</v>
      </c>
      <c r="C428" s="478">
        <f>400000*30</f>
        <v>12000000</v>
      </c>
      <c r="J428" s="102"/>
      <c r="K428" s="102"/>
      <c r="L428" s="102"/>
      <c r="M428" s="102"/>
      <c r="N428" s="102"/>
      <c r="O428" s="102"/>
      <c r="P428" s="102"/>
      <c r="Q428" s="102"/>
    </row>
    <row r="429" spans="1:17" x14ac:dyDescent="0.2">
      <c r="B429" s="103" t="s">
        <v>924</v>
      </c>
      <c r="C429" s="478">
        <v>5000000</v>
      </c>
      <c r="J429" s="102"/>
      <c r="K429" s="102"/>
      <c r="L429" s="102"/>
      <c r="M429" s="102"/>
      <c r="N429" s="102"/>
      <c r="O429" s="102"/>
      <c r="P429" s="102"/>
      <c r="Q429" s="102"/>
    </row>
    <row r="430" spans="1:17" x14ac:dyDescent="0.2">
      <c r="B430" s="103" t="s">
        <v>925</v>
      </c>
      <c r="C430" s="478">
        <f>30*30000</f>
        <v>900000</v>
      </c>
      <c r="J430" s="102"/>
      <c r="K430" s="102"/>
      <c r="L430" s="102"/>
      <c r="M430" s="102"/>
      <c r="N430" s="102"/>
      <c r="O430" s="102"/>
      <c r="P430" s="102"/>
      <c r="Q430" s="102"/>
    </row>
    <row r="431" spans="1:17" x14ac:dyDescent="0.2">
      <c r="B431" s="103" t="s">
        <v>823</v>
      </c>
      <c r="C431" s="478">
        <v>100000</v>
      </c>
      <c r="J431" s="102"/>
      <c r="K431" s="102"/>
      <c r="L431" s="102"/>
      <c r="M431" s="102"/>
      <c r="N431" s="102"/>
      <c r="O431" s="102"/>
      <c r="P431" s="102"/>
      <c r="Q431" s="102"/>
    </row>
    <row r="432" spans="1:17" x14ac:dyDescent="0.2">
      <c r="B432" s="103" t="s">
        <v>926</v>
      </c>
      <c r="C432" s="478">
        <f>300000*30</f>
        <v>9000000</v>
      </c>
      <c r="J432" s="102"/>
      <c r="K432" s="102"/>
      <c r="L432" s="102"/>
      <c r="M432" s="102"/>
      <c r="N432" s="102"/>
      <c r="O432" s="102"/>
      <c r="P432" s="102"/>
      <c r="Q432" s="102"/>
    </row>
    <row r="433" spans="2:17" x14ac:dyDescent="0.2">
      <c r="B433" s="103" t="s">
        <v>927</v>
      </c>
      <c r="C433" s="478">
        <f>2000*100</f>
        <v>200000</v>
      </c>
      <c r="J433" s="102"/>
      <c r="K433" s="102"/>
      <c r="L433" s="102"/>
      <c r="M433" s="102"/>
      <c r="N433" s="102"/>
      <c r="O433" s="102"/>
      <c r="P433" s="102"/>
      <c r="Q433" s="102"/>
    </row>
    <row r="434" spans="2:17" x14ac:dyDescent="0.2">
      <c r="B434" s="103" t="s">
        <v>61</v>
      </c>
      <c r="C434" s="478">
        <v>10000000</v>
      </c>
      <c r="J434" s="102"/>
      <c r="K434" s="102"/>
      <c r="L434" s="102"/>
      <c r="M434" s="102"/>
      <c r="N434" s="102"/>
      <c r="O434" s="102"/>
      <c r="P434" s="102"/>
      <c r="Q434" s="102"/>
    </row>
    <row r="435" spans="2:17" x14ac:dyDescent="0.2">
      <c r="B435" s="103" t="s">
        <v>888</v>
      </c>
      <c r="C435" s="478">
        <v>10000000</v>
      </c>
      <c r="J435" s="102"/>
      <c r="K435" s="102"/>
      <c r="L435" s="102"/>
      <c r="M435" s="102"/>
      <c r="N435" s="102"/>
      <c r="O435" s="102"/>
      <c r="P435" s="102"/>
      <c r="Q435" s="102"/>
    </row>
    <row r="436" spans="2:17" x14ac:dyDescent="0.2">
      <c r="B436" s="103" t="s">
        <v>928</v>
      </c>
      <c r="C436" s="478">
        <v>5000000</v>
      </c>
      <c r="J436" s="102"/>
      <c r="K436" s="102"/>
      <c r="L436" s="102"/>
      <c r="M436" s="102"/>
      <c r="N436" s="102"/>
      <c r="O436" s="102"/>
      <c r="P436" s="102"/>
      <c r="Q436" s="102"/>
    </row>
    <row r="437" spans="2:17" ht="15" x14ac:dyDescent="0.25">
      <c r="B437" s="509" t="s">
        <v>929</v>
      </c>
      <c r="C437" s="519">
        <f>SUM(C428:C436)</f>
        <v>52200000</v>
      </c>
      <c r="J437" s="102"/>
      <c r="K437" s="102"/>
      <c r="L437" s="102"/>
      <c r="M437" s="102"/>
      <c r="N437" s="102"/>
      <c r="O437" s="102"/>
      <c r="P437" s="102"/>
      <c r="Q437" s="102"/>
    </row>
    <row r="438" spans="2:17" x14ac:dyDescent="0.2">
      <c r="B438" s="101" t="s">
        <v>930</v>
      </c>
      <c r="J438" s="102"/>
      <c r="K438" s="102"/>
      <c r="L438" s="102"/>
      <c r="M438" s="102"/>
      <c r="N438" s="102"/>
      <c r="O438" s="102"/>
      <c r="P438" s="102"/>
      <c r="Q438" s="102"/>
    </row>
    <row r="439" spans="2:17" x14ac:dyDescent="0.2">
      <c r="B439" s="101" t="s">
        <v>65</v>
      </c>
      <c r="J439" s="102"/>
      <c r="K439" s="102"/>
      <c r="L439" s="102"/>
      <c r="M439" s="102"/>
      <c r="N439" s="102"/>
      <c r="O439" s="102"/>
      <c r="P439" s="102"/>
      <c r="Q439" s="102"/>
    </row>
    <row r="440" spans="2:17" x14ac:dyDescent="0.2">
      <c r="J440" s="102"/>
      <c r="K440" s="102"/>
      <c r="L440" s="102"/>
      <c r="M440" s="102"/>
      <c r="N440" s="102"/>
      <c r="O440" s="102"/>
      <c r="P440" s="102"/>
      <c r="Q440" s="102"/>
    </row>
    <row r="441" spans="2:17" ht="15" x14ac:dyDescent="0.25">
      <c r="B441" s="509" t="s">
        <v>931</v>
      </c>
      <c r="C441" s="432"/>
      <c r="J441" s="102"/>
      <c r="K441" s="102"/>
      <c r="L441" s="102"/>
      <c r="M441" s="102"/>
      <c r="N441" s="102"/>
      <c r="O441" s="102"/>
      <c r="P441" s="102"/>
      <c r="Q441" s="102"/>
    </row>
    <row r="442" spans="2:17" x14ac:dyDescent="0.2">
      <c r="B442" s="103" t="s">
        <v>61</v>
      </c>
      <c r="C442" s="478">
        <v>5000000</v>
      </c>
      <c r="J442" s="102"/>
      <c r="K442" s="102"/>
      <c r="L442" s="102"/>
      <c r="M442" s="102"/>
      <c r="N442" s="102"/>
      <c r="O442" s="102"/>
      <c r="P442" s="102"/>
      <c r="Q442" s="102"/>
    </row>
    <row r="443" spans="2:17" x14ac:dyDescent="0.2">
      <c r="B443" s="103" t="s">
        <v>888</v>
      </c>
      <c r="C443" s="478">
        <v>10000000</v>
      </c>
      <c r="J443" s="102"/>
      <c r="K443" s="102"/>
      <c r="L443" s="102"/>
      <c r="M443" s="102"/>
      <c r="N443" s="102"/>
      <c r="O443" s="102"/>
      <c r="P443" s="102"/>
      <c r="Q443" s="102"/>
    </row>
    <row r="444" spans="2:17" x14ac:dyDescent="0.2">
      <c r="B444" s="103" t="s">
        <v>932</v>
      </c>
      <c r="C444" s="478">
        <v>5000000</v>
      </c>
      <c r="J444" s="102"/>
      <c r="K444" s="102"/>
      <c r="L444" s="102"/>
      <c r="M444" s="102"/>
      <c r="N444" s="102"/>
      <c r="O444" s="102"/>
      <c r="P444" s="102"/>
      <c r="Q444" s="102"/>
    </row>
    <row r="445" spans="2:17" ht="15" x14ac:dyDescent="0.25">
      <c r="B445" s="509" t="s">
        <v>929</v>
      </c>
      <c r="C445" s="519">
        <f>SUM(C442:C444)</f>
        <v>20000000</v>
      </c>
      <c r="J445" s="102"/>
      <c r="K445" s="102"/>
      <c r="L445" s="102"/>
      <c r="M445" s="102"/>
      <c r="N445" s="102"/>
      <c r="O445" s="102"/>
      <c r="P445" s="102"/>
      <c r="Q445" s="102"/>
    </row>
    <row r="446" spans="2:17" x14ac:dyDescent="0.2">
      <c r="B446" s="101" t="s">
        <v>94</v>
      </c>
      <c r="J446" s="102"/>
      <c r="K446" s="102"/>
      <c r="L446" s="102"/>
      <c r="M446" s="102"/>
      <c r="N446" s="102"/>
      <c r="O446" s="102"/>
      <c r="P446" s="102"/>
      <c r="Q446" s="102"/>
    </row>
    <row r="447" spans="2:17" x14ac:dyDescent="0.2">
      <c r="J447" s="102"/>
      <c r="K447" s="102"/>
      <c r="L447" s="102"/>
      <c r="M447" s="102"/>
      <c r="N447" s="102"/>
      <c r="O447" s="102"/>
      <c r="P447" s="102"/>
      <c r="Q447" s="102"/>
    </row>
    <row r="448" spans="2:17" ht="15" x14ac:dyDescent="0.25">
      <c r="B448" s="509" t="s">
        <v>933</v>
      </c>
      <c r="C448" s="432"/>
      <c r="J448" s="102"/>
      <c r="K448" s="102"/>
      <c r="L448" s="102"/>
      <c r="M448" s="102"/>
      <c r="N448" s="102"/>
      <c r="O448" s="102"/>
      <c r="P448" s="102"/>
      <c r="Q448" s="102"/>
    </row>
    <row r="449" spans="2:17" x14ac:dyDescent="0.2">
      <c r="B449" s="103" t="s">
        <v>934</v>
      </c>
      <c r="C449" s="478">
        <f>1400000*5</f>
        <v>7000000</v>
      </c>
      <c r="J449" s="102"/>
      <c r="K449" s="102"/>
      <c r="L449" s="102"/>
      <c r="M449" s="102"/>
      <c r="N449" s="102"/>
      <c r="O449" s="102"/>
      <c r="P449" s="102"/>
      <c r="Q449" s="102"/>
    </row>
    <row r="450" spans="2:17" x14ac:dyDescent="0.2">
      <c r="B450" s="103" t="s">
        <v>926</v>
      </c>
      <c r="C450" s="478">
        <f>200000*5</f>
        <v>1000000</v>
      </c>
      <c r="J450" s="102"/>
      <c r="K450" s="102"/>
      <c r="L450" s="102"/>
      <c r="M450" s="102"/>
      <c r="N450" s="102"/>
      <c r="O450" s="102"/>
      <c r="P450" s="102"/>
      <c r="Q450" s="102"/>
    </row>
    <row r="451" spans="2:17" x14ac:dyDescent="0.2">
      <c r="B451" s="103" t="s">
        <v>935</v>
      </c>
      <c r="C451" s="478">
        <f>2000000*5</f>
        <v>10000000</v>
      </c>
      <c r="J451" s="102"/>
      <c r="K451" s="102"/>
      <c r="L451" s="102"/>
      <c r="M451" s="102"/>
      <c r="N451" s="102"/>
      <c r="O451" s="102"/>
      <c r="P451" s="102"/>
      <c r="Q451" s="102"/>
    </row>
    <row r="452" spans="2:17" ht="15" x14ac:dyDescent="0.25">
      <c r="B452" s="520" t="s">
        <v>936</v>
      </c>
      <c r="C452" s="519">
        <f>SUM(C449:C451)</f>
        <v>18000000</v>
      </c>
      <c r="J452" s="102"/>
      <c r="K452" s="102"/>
      <c r="L452" s="102"/>
      <c r="M452" s="102"/>
      <c r="N452" s="102"/>
      <c r="O452" s="102"/>
      <c r="P452" s="102"/>
      <c r="Q452" s="102"/>
    </row>
    <row r="453" spans="2:17" x14ac:dyDescent="0.2">
      <c r="B453" s="101" t="s">
        <v>937</v>
      </c>
      <c r="J453" s="102"/>
      <c r="K453" s="102"/>
      <c r="L453" s="102"/>
      <c r="M453" s="102"/>
      <c r="N453" s="102"/>
      <c r="O453" s="102"/>
      <c r="P453" s="102"/>
      <c r="Q453" s="102"/>
    </row>
    <row r="454" spans="2:17" x14ac:dyDescent="0.2">
      <c r="J454" s="102"/>
      <c r="K454" s="102"/>
      <c r="L454" s="102"/>
      <c r="M454" s="102"/>
      <c r="N454" s="102"/>
      <c r="O454" s="102"/>
      <c r="P454" s="102"/>
      <c r="Q454" s="102"/>
    </row>
    <row r="455" spans="2:17" ht="15" x14ac:dyDescent="0.25">
      <c r="B455" s="509" t="s">
        <v>938</v>
      </c>
      <c r="C455" s="432"/>
      <c r="J455" s="102"/>
      <c r="K455" s="102"/>
      <c r="L455" s="102"/>
      <c r="M455" s="102"/>
      <c r="N455" s="102"/>
      <c r="O455" s="102"/>
      <c r="P455" s="102"/>
      <c r="Q455" s="102"/>
    </row>
    <row r="456" spans="2:17" x14ac:dyDescent="0.2">
      <c r="B456" s="103" t="s">
        <v>939</v>
      </c>
      <c r="C456" s="478">
        <f>2500000*5</f>
        <v>12500000</v>
      </c>
      <c r="J456" s="102"/>
      <c r="K456" s="102"/>
      <c r="L456" s="102"/>
      <c r="M456" s="102"/>
      <c r="N456" s="102"/>
      <c r="O456" s="102"/>
      <c r="P456" s="102"/>
      <c r="Q456" s="102"/>
    </row>
    <row r="457" spans="2:17" x14ac:dyDescent="0.2">
      <c r="B457" s="103" t="s">
        <v>926</v>
      </c>
      <c r="C457" s="478">
        <f>1000*5*C297</f>
        <v>18916566.666666668</v>
      </c>
      <c r="J457" s="102"/>
      <c r="K457" s="102"/>
      <c r="L457" s="102"/>
      <c r="M457" s="102"/>
      <c r="N457" s="102"/>
      <c r="O457" s="102"/>
      <c r="P457" s="102"/>
      <c r="Q457" s="102"/>
    </row>
    <row r="458" spans="2:17" x14ac:dyDescent="0.2">
      <c r="B458" s="103" t="s">
        <v>940</v>
      </c>
      <c r="C458" s="478">
        <f>3500*C297</f>
        <v>13241596.666666668</v>
      </c>
      <c r="J458" s="102"/>
      <c r="K458" s="102"/>
      <c r="L458" s="102"/>
      <c r="M458" s="102"/>
      <c r="N458" s="102"/>
      <c r="O458" s="102"/>
      <c r="P458" s="102"/>
      <c r="Q458" s="102"/>
    </row>
    <row r="459" spans="2:17" ht="15" x14ac:dyDescent="0.25">
      <c r="B459" s="520" t="s">
        <v>936</v>
      </c>
      <c r="C459" s="519">
        <f>SUM(C456:C458)</f>
        <v>44658163.333333336</v>
      </c>
      <c r="J459" s="102"/>
      <c r="K459" s="102"/>
      <c r="L459" s="102"/>
      <c r="M459" s="102"/>
      <c r="N459" s="102"/>
      <c r="O459" s="102"/>
      <c r="P459" s="102"/>
      <c r="Q459" s="102"/>
    </row>
    <row r="460" spans="2:17" ht="15" x14ac:dyDescent="0.25">
      <c r="B460" s="509" t="s">
        <v>941</v>
      </c>
      <c r="C460" s="519">
        <v>45000000</v>
      </c>
      <c r="J460" s="102"/>
      <c r="K460" s="102"/>
      <c r="L460" s="102"/>
      <c r="M460" s="102"/>
      <c r="N460" s="102"/>
      <c r="O460" s="102"/>
      <c r="P460" s="102"/>
      <c r="Q460" s="102"/>
    </row>
    <row r="461" spans="2:17" x14ac:dyDescent="0.2">
      <c r="B461" s="101" t="s">
        <v>942</v>
      </c>
      <c r="J461" s="102"/>
      <c r="K461" s="102"/>
      <c r="L461" s="102"/>
      <c r="M461" s="102"/>
      <c r="N461" s="102"/>
      <c r="O461" s="102"/>
      <c r="P461" s="102"/>
      <c r="Q461" s="102"/>
    </row>
    <row r="462" spans="2:17" x14ac:dyDescent="0.2">
      <c r="J462" s="102"/>
      <c r="K462" s="102"/>
      <c r="L462" s="102"/>
      <c r="M462" s="102"/>
      <c r="N462" s="102"/>
      <c r="O462" s="102"/>
      <c r="P462" s="102"/>
      <c r="Q462" s="102"/>
    </row>
    <row r="463" spans="2:17" x14ac:dyDescent="0.2">
      <c r="J463" s="102"/>
      <c r="K463" s="102"/>
      <c r="L463" s="102"/>
      <c r="M463" s="102"/>
      <c r="N463" s="102"/>
      <c r="O463" s="102"/>
      <c r="P463" s="102"/>
      <c r="Q463" s="102"/>
    </row>
    <row r="464" spans="2:17" x14ac:dyDescent="0.2">
      <c r="J464" s="102"/>
      <c r="K464" s="102"/>
      <c r="L464" s="102"/>
      <c r="M464" s="102"/>
      <c r="N464" s="102"/>
      <c r="O464" s="102"/>
      <c r="P464" s="102"/>
      <c r="Q464" s="102"/>
    </row>
    <row r="465" spans="2:17" ht="15" x14ac:dyDescent="0.25">
      <c r="B465" s="381" t="s">
        <v>943</v>
      </c>
      <c r="F465" s="432"/>
      <c r="J465" s="102"/>
      <c r="K465" s="102"/>
      <c r="L465" s="102"/>
      <c r="M465" s="102"/>
      <c r="N465" s="102"/>
      <c r="O465" s="102"/>
      <c r="P465" s="102"/>
      <c r="Q465" s="102"/>
    </row>
    <row r="466" spans="2:17" ht="57" x14ac:dyDescent="0.2">
      <c r="B466" s="47" t="s">
        <v>944</v>
      </c>
      <c r="C466" s="303" t="s">
        <v>945</v>
      </c>
      <c r="D466" s="512">
        <f>200000*30</f>
        <v>6000000</v>
      </c>
      <c r="J466" s="102"/>
      <c r="K466" s="102"/>
      <c r="L466" s="102"/>
      <c r="M466" s="102"/>
      <c r="N466" s="102"/>
      <c r="O466" s="102"/>
      <c r="P466" s="102"/>
      <c r="Q466" s="102"/>
    </row>
    <row r="467" spans="2:17" ht="42.75" x14ac:dyDescent="0.2">
      <c r="B467" s="47" t="s">
        <v>946</v>
      </c>
      <c r="C467" s="303" t="s">
        <v>947</v>
      </c>
      <c r="D467" s="512">
        <f>D466*30%</f>
        <v>1800000</v>
      </c>
      <c r="J467" s="102"/>
      <c r="K467" s="102"/>
      <c r="L467" s="102"/>
      <c r="M467" s="102"/>
      <c r="N467" s="102"/>
      <c r="O467" s="102"/>
      <c r="P467" s="102"/>
      <c r="Q467" s="102"/>
    </row>
    <row r="468" spans="2:17" x14ac:dyDescent="0.2">
      <c r="B468" s="47" t="s">
        <v>948</v>
      </c>
      <c r="C468" s="103" t="s">
        <v>949</v>
      </c>
      <c r="D468" s="512">
        <v>1500000</v>
      </c>
      <c r="J468" s="102"/>
      <c r="K468" s="102"/>
      <c r="L468" s="102"/>
      <c r="M468" s="102"/>
      <c r="N468" s="102"/>
      <c r="O468" s="102"/>
      <c r="P468" s="102"/>
      <c r="Q468" s="102"/>
    </row>
    <row r="469" spans="2:17" ht="28.5" x14ac:dyDescent="0.2">
      <c r="B469" s="47" t="s">
        <v>950</v>
      </c>
      <c r="C469" s="303" t="s">
        <v>951</v>
      </c>
      <c r="D469" s="512">
        <f>D468*30%</f>
        <v>450000</v>
      </c>
      <c r="J469" s="102"/>
      <c r="K469" s="102"/>
      <c r="L469" s="102"/>
      <c r="M469" s="102"/>
      <c r="N469" s="102"/>
      <c r="O469" s="102"/>
      <c r="P469" s="102"/>
      <c r="Q469" s="102"/>
    </row>
    <row r="470" spans="2:17" x14ac:dyDescent="0.2">
      <c r="B470" s="47" t="s">
        <v>952</v>
      </c>
      <c r="C470" s="303" t="s">
        <v>949</v>
      </c>
      <c r="D470" s="512">
        <v>3000000</v>
      </c>
      <c r="J470" s="102"/>
      <c r="K470" s="102"/>
      <c r="L470" s="102"/>
      <c r="M470" s="102"/>
      <c r="N470" s="102"/>
      <c r="O470" s="102"/>
      <c r="P470" s="102"/>
      <c r="Q470" s="102"/>
    </row>
    <row r="471" spans="2:17" ht="28.5" x14ac:dyDescent="0.2">
      <c r="B471" s="47" t="s">
        <v>953</v>
      </c>
      <c r="C471" s="303" t="s">
        <v>954</v>
      </c>
      <c r="D471" s="512">
        <f>D470*30%</f>
        <v>900000</v>
      </c>
      <c r="J471" s="102"/>
      <c r="K471" s="102"/>
      <c r="L471" s="102"/>
      <c r="M471" s="102"/>
      <c r="N471" s="102"/>
      <c r="O471" s="102"/>
      <c r="P471" s="102"/>
      <c r="Q471" s="102"/>
    </row>
    <row r="472" spans="2:17" x14ac:dyDescent="0.2">
      <c r="B472" s="47" t="s">
        <v>955</v>
      </c>
      <c r="C472" s="103" t="s">
        <v>949</v>
      </c>
      <c r="D472" s="512">
        <v>30000000</v>
      </c>
      <c r="J472" s="102"/>
      <c r="K472" s="102"/>
      <c r="L472" s="102"/>
      <c r="M472" s="102"/>
      <c r="N472" s="102"/>
      <c r="O472" s="102"/>
      <c r="P472" s="102"/>
      <c r="Q472" s="102"/>
    </row>
    <row r="473" spans="2:17" x14ac:dyDescent="0.2">
      <c r="B473" s="47" t="s">
        <v>956</v>
      </c>
      <c r="C473" s="103" t="s">
        <v>957</v>
      </c>
      <c r="D473" s="512">
        <v>45000000</v>
      </c>
      <c r="P473" s="102"/>
      <c r="Q473" s="102"/>
    </row>
    <row r="474" spans="2:17" x14ac:dyDescent="0.2">
      <c r="B474" s="47" t="s">
        <v>958</v>
      </c>
      <c r="C474" s="103" t="s">
        <v>949</v>
      </c>
      <c r="D474" s="512">
        <v>100000000</v>
      </c>
      <c r="P474" s="102"/>
      <c r="Q474" s="102"/>
    </row>
    <row r="475" spans="2:17" x14ac:dyDescent="0.2">
      <c r="B475" s="844" t="s">
        <v>959</v>
      </c>
      <c r="C475" s="828"/>
      <c r="D475" s="828"/>
      <c r="P475" s="102"/>
      <c r="Q475" s="102"/>
    </row>
    <row r="476" spans="2:17" x14ac:dyDescent="0.2">
      <c r="P476" s="102"/>
      <c r="Q476" s="102"/>
    </row>
    <row r="477" spans="2:17" ht="15" x14ac:dyDescent="0.25">
      <c r="B477" s="381" t="s">
        <v>960</v>
      </c>
      <c r="F477" s="432"/>
      <c r="P477" s="102"/>
      <c r="Q477" s="102"/>
    </row>
    <row r="478" spans="2:17" x14ac:dyDescent="0.2">
      <c r="P478" s="102"/>
      <c r="Q478" s="102"/>
    </row>
    <row r="479" spans="2:17" ht="15" x14ac:dyDescent="0.25">
      <c r="B479" s="521" t="s">
        <v>961</v>
      </c>
      <c r="C479" s="521"/>
      <c r="D479" s="425"/>
      <c r="F479" s="432"/>
      <c r="P479" s="102"/>
      <c r="Q479" s="102"/>
    </row>
    <row r="480" spans="2:17" x14ac:dyDescent="0.2">
      <c r="B480" s="103" t="s">
        <v>962</v>
      </c>
      <c r="C480" s="53">
        <v>26000000</v>
      </c>
      <c r="D480" s="425"/>
      <c r="F480" s="432"/>
      <c r="P480" s="102"/>
      <c r="Q480" s="102"/>
    </row>
    <row r="481" spans="2:18" x14ac:dyDescent="0.2">
      <c r="B481" s="103" t="s">
        <v>963</v>
      </c>
      <c r="C481" s="53">
        <v>17000000</v>
      </c>
      <c r="D481" s="425"/>
      <c r="F481" s="432"/>
      <c r="J481" s="102"/>
      <c r="K481" s="102"/>
      <c r="L481" s="102"/>
      <c r="M481" s="102"/>
      <c r="N481" s="102"/>
      <c r="O481" s="102"/>
      <c r="P481" s="102"/>
      <c r="Q481" s="102"/>
    </row>
    <row r="482" spans="2:18" ht="15" x14ac:dyDescent="0.25">
      <c r="B482" s="521" t="s">
        <v>964</v>
      </c>
      <c r="C482" s="522">
        <f>SUM(C480:C481)</f>
        <v>43000000</v>
      </c>
      <c r="D482" s="425"/>
      <c r="F482" s="432"/>
      <c r="J482" s="102"/>
      <c r="K482" s="102"/>
      <c r="L482" s="102"/>
      <c r="M482" s="102"/>
      <c r="N482" s="102"/>
      <c r="O482" s="102"/>
      <c r="P482" s="102"/>
      <c r="Q482" s="102"/>
    </row>
    <row r="483" spans="2:18" x14ac:dyDescent="0.2">
      <c r="B483" s="101" t="s">
        <v>965</v>
      </c>
      <c r="F483" s="432"/>
    </row>
    <row r="484" spans="2:18" x14ac:dyDescent="0.2">
      <c r="F484" s="432"/>
    </row>
    <row r="485" spans="2:18" s="25" customFormat="1" ht="15" x14ac:dyDescent="0.25">
      <c r="B485" s="523" t="s">
        <v>966</v>
      </c>
      <c r="C485" s="524" t="s">
        <v>967</v>
      </c>
      <c r="D485" s="524" t="s">
        <v>54</v>
      </c>
      <c r="E485" s="524" t="s">
        <v>968</v>
      </c>
      <c r="F485" s="525"/>
    </row>
    <row r="486" spans="2:18" ht="24.75" customHeight="1" x14ac:dyDescent="0.2">
      <c r="B486" s="367" t="s">
        <v>969</v>
      </c>
      <c r="C486" s="104" t="s">
        <v>95</v>
      </c>
      <c r="D486" s="54">
        <v>225000</v>
      </c>
      <c r="E486" s="107" t="s">
        <v>970</v>
      </c>
      <c r="F486" s="432"/>
    </row>
    <row r="487" spans="2:18" ht="25.5" customHeight="1" x14ac:dyDescent="0.2">
      <c r="B487" s="526" t="s">
        <v>971</v>
      </c>
      <c r="C487" s="526" t="s">
        <v>972</v>
      </c>
      <c r="D487" s="477">
        <v>182000</v>
      </c>
      <c r="E487" s="107" t="s">
        <v>973</v>
      </c>
      <c r="F487" s="432"/>
    </row>
    <row r="488" spans="2:18" s="25" customFormat="1" ht="27" customHeight="1" x14ac:dyDescent="0.2">
      <c r="B488" s="526" t="s">
        <v>974</v>
      </c>
      <c r="C488" s="526" t="s">
        <v>975</v>
      </c>
      <c r="D488" s="477">
        <v>130000</v>
      </c>
      <c r="E488" s="107" t="s">
        <v>973</v>
      </c>
      <c r="F488" s="525"/>
    </row>
    <row r="489" spans="2:18" s="25" customFormat="1" ht="27" customHeight="1" x14ac:dyDescent="0.2">
      <c r="B489" s="526"/>
      <c r="C489" s="527"/>
      <c r="D489" s="528"/>
      <c r="E489" s="226"/>
      <c r="F489" s="525"/>
    </row>
    <row r="490" spans="2:18" ht="18" customHeight="1" x14ac:dyDescent="0.25">
      <c r="B490" s="381" t="s">
        <v>976</v>
      </c>
      <c r="C490" s="529"/>
      <c r="D490" s="529"/>
      <c r="E490" s="529"/>
      <c r="F490" s="529"/>
      <c r="G490" s="529"/>
      <c r="H490" s="529"/>
      <c r="I490" s="529"/>
      <c r="J490" s="529"/>
      <c r="K490" s="529"/>
      <c r="L490" s="529"/>
      <c r="M490" s="529"/>
      <c r="N490" s="529"/>
      <c r="O490" s="529"/>
      <c r="P490" s="529"/>
      <c r="Q490" s="529"/>
      <c r="R490" s="105"/>
    </row>
    <row r="491" spans="2:18" ht="15" x14ac:dyDescent="0.25">
      <c r="B491"/>
      <c r="C491" s="529"/>
      <c r="D491" s="529"/>
      <c r="E491" s="529"/>
      <c r="F491" s="529"/>
      <c r="G491" s="529"/>
      <c r="H491" s="529"/>
      <c r="I491" s="529"/>
      <c r="J491" s="529"/>
      <c r="K491" s="529"/>
      <c r="L491" s="529"/>
      <c r="M491" s="529"/>
      <c r="N491" s="529"/>
      <c r="O491" s="529"/>
      <c r="P491" s="529"/>
      <c r="Q491" s="529"/>
      <c r="R491" s="105"/>
    </row>
    <row r="492" spans="2:18" x14ac:dyDescent="0.2">
      <c r="B492" s="42"/>
      <c r="C492" s="533"/>
      <c r="E492" s="529"/>
      <c r="F492" s="529"/>
      <c r="G492" s="529"/>
      <c r="H492" s="529"/>
      <c r="I492" s="529"/>
      <c r="J492" s="529"/>
      <c r="K492" s="529"/>
      <c r="L492" s="529"/>
      <c r="M492" s="529"/>
      <c r="N492" s="529"/>
      <c r="O492" s="529"/>
      <c r="P492" s="529"/>
      <c r="Q492" s="529"/>
      <c r="R492" s="105"/>
    </row>
    <row r="493" spans="2:18" ht="15" x14ac:dyDescent="0.25">
      <c r="B493" s="530" t="s">
        <v>977</v>
      </c>
      <c r="C493"/>
      <c r="D493"/>
      <c r="E493"/>
      <c r="F493"/>
      <c r="G493"/>
      <c r="H493"/>
      <c r="I493"/>
      <c r="J493"/>
      <c r="K493"/>
      <c r="L493"/>
      <c r="M493"/>
      <c r="N493"/>
      <c r="O493"/>
      <c r="P493"/>
      <c r="Q493"/>
      <c r="R493"/>
    </row>
    <row r="494" spans="2:18" ht="15" x14ac:dyDescent="0.25">
      <c r="B494" s="530" t="s">
        <v>1243</v>
      </c>
      <c r="C494" s="381" t="s">
        <v>54</v>
      </c>
      <c r="D494"/>
      <c r="E494"/>
      <c r="F494"/>
      <c r="G494"/>
      <c r="H494"/>
      <c r="I494"/>
      <c r="J494"/>
      <c r="K494"/>
      <c r="L494"/>
      <c r="M494"/>
      <c r="N494"/>
      <c r="O494"/>
      <c r="P494"/>
      <c r="Q494"/>
      <c r="R494"/>
    </row>
    <row r="495" spans="2:18" ht="15" x14ac:dyDescent="0.25">
      <c r="B495" s="104" t="s">
        <v>978</v>
      </c>
      <c r="C495" s="534">
        <f>300*1000*$C$297</f>
        <v>1134994000</v>
      </c>
      <c r="D495"/>
      <c r="E495"/>
      <c r="F495"/>
      <c r="G495"/>
      <c r="H495"/>
      <c r="I495"/>
      <c r="J495"/>
      <c r="K495"/>
      <c r="L495"/>
      <c r="M495"/>
      <c r="N495"/>
      <c r="O495"/>
      <c r="P495"/>
      <c r="Q495"/>
      <c r="R495"/>
    </row>
    <row r="496" spans="2:18" ht="29.25" x14ac:dyDescent="0.25">
      <c r="B496" s="367" t="s">
        <v>979</v>
      </c>
      <c r="C496" s="534">
        <f>300*3000*$C$297</f>
        <v>3404982000</v>
      </c>
      <c r="D496"/>
      <c r="E496"/>
      <c r="F496"/>
      <c r="G496"/>
      <c r="H496"/>
      <c r="I496"/>
      <c r="J496"/>
      <c r="K496"/>
      <c r="L496"/>
      <c r="M496"/>
      <c r="N496"/>
      <c r="O496"/>
      <c r="P496"/>
      <c r="Q496"/>
      <c r="R496"/>
    </row>
    <row r="497" spans="2:18" ht="29.25" x14ac:dyDescent="0.25">
      <c r="B497" s="367" t="s">
        <v>980</v>
      </c>
      <c r="C497" s="534">
        <f>300*9000*$C$297</f>
        <v>10214946000</v>
      </c>
      <c r="D497"/>
      <c r="E497"/>
      <c r="F497"/>
      <c r="G497"/>
      <c r="H497"/>
      <c r="I497"/>
      <c r="J497"/>
      <c r="K497"/>
      <c r="L497"/>
      <c r="M497"/>
      <c r="N497"/>
      <c r="O497"/>
      <c r="P497"/>
      <c r="Q497"/>
      <c r="R497"/>
    </row>
    <row r="498" spans="2:18" ht="29.25" x14ac:dyDescent="0.25">
      <c r="B498" s="367" t="s">
        <v>981</v>
      </c>
      <c r="C498" s="534">
        <f>300*27000*$C$297</f>
        <v>30644838000</v>
      </c>
      <c r="D498"/>
      <c r="E498"/>
      <c r="F498"/>
      <c r="G498"/>
      <c r="H498"/>
      <c r="I498"/>
      <c r="J498"/>
      <c r="K498"/>
      <c r="L498"/>
      <c r="M498"/>
      <c r="N498"/>
      <c r="O498"/>
      <c r="P498"/>
      <c r="Q498"/>
      <c r="R498"/>
    </row>
    <row r="499" spans="2:18" ht="15" x14ac:dyDescent="0.25">
      <c r="B499" s="216" t="s">
        <v>982</v>
      </c>
      <c r="C499" s="80"/>
      <c r="D499"/>
      <c r="E499"/>
      <c r="F499"/>
      <c r="G499"/>
      <c r="H499"/>
      <c r="I499"/>
      <c r="J499"/>
      <c r="K499"/>
      <c r="L499"/>
      <c r="M499"/>
      <c r="N499"/>
      <c r="O499"/>
      <c r="P499"/>
      <c r="Q499"/>
      <c r="R499"/>
    </row>
    <row r="500" spans="2:18" ht="15" x14ac:dyDescent="0.25">
      <c r="B500"/>
      <c r="C500"/>
      <c r="D500"/>
      <c r="E500"/>
      <c r="F500"/>
      <c r="G500"/>
      <c r="H500"/>
      <c r="I500"/>
      <c r="J500"/>
      <c r="K500"/>
      <c r="L500"/>
      <c r="M500"/>
      <c r="N500"/>
      <c r="O500"/>
      <c r="P500" s="25"/>
      <c r="Q500" s="25"/>
      <c r="R500" s="25"/>
    </row>
    <row r="501" spans="2:18" ht="15" x14ac:dyDescent="0.25">
      <c r="B501" s="536"/>
      <c r="C501" s="57"/>
      <c r="D501"/>
      <c r="E501"/>
      <c r="F501"/>
      <c r="G501"/>
      <c r="H501"/>
      <c r="I501"/>
      <c r="J501"/>
      <c r="K501"/>
      <c r="L501"/>
      <c r="M501"/>
      <c r="N501"/>
      <c r="O501"/>
    </row>
    <row r="502" spans="2:18" ht="15" x14ac:dyDescent="0.25">
      <c r="B502" s="462" t="s">
        <v>983</v>
      </c>
      <c r="C502" s="103"/>
      <c r="D502"/>
      <c r="E502"/>
      <c r="F502"/>
      <c r="G502"/>
      <c r="H502"/>
      <c r="I502"/>
      <c r="J502"/>
      <c r="K502"/>
      <c r="L502"/>
      <c r="M502"/>
      <c r="N502"/>
      <c r="O502"/>
    </row>
    <row r="503" spans="2:18" x14ac:dyDescent="0.2">
      <c r="B503" s="104" t="s">
        <v>984</v>
      </c>
      <c r="C503" s="535">
        <v>7500000</v>
      </c>
    </row>
    <row r="504" spans="2:18" x14ac:dyDescent="0.2">
      <c r="B504" s="104" t="s">
        <v>985</v>
      </c>
      <c r="C504" s="535">
        <v>9700000</v>
      </c>
    </row>
    <row r="505" spans="2:18" x14ac:dyDescent="0.2">
      <c r="B505" s="104" t="s">
        <v>986</v>
      </c>
      <c r="C505" s="535">
        <v>11500000</v>
      </c>
    </row>
    <row r="506" spans="2:18" x14ac:dyDescent="0.2">
      <c r="B506" s="216" t="s">
        <v>987</v>
      </c>
      <c r="C506" s="537"/>
    </row>
    <row r="507" spans="2:18" x14ac:dyDescent="0.2">
      <c r="B507" s="536"/>
      <c r="D507" s="538"/>
      <c r="E507" s="538"/>
      <c r="F507" s="538"/>
      <c r="G507" s="538"/>
      <c r="H507" s="538"/>
      <c r="I507" s="538"/>
      <c r="J507" s="538"/>
      <c r="K507" s="538"/>
      <c r="L507" s="538"/>
      <c r="M507" s="538"/>
      <c r="N507" s="538"/>
      <c r="O507" s="538"/>
      <c r="P507" s="538"/>
      <c r="Q507" s="538"/>
      <c r="R507" s="538"/>
    </row>
    <row r="508" spans="2:18" ht="15" x14ac:dyDescent="0.25">
      <c r="B508" s="530" t="s">
        <v>988</v>
      </c>
      <c r="C508" s="381" t="s">
        <v>54</v>
      </c>
      <c r="D508" s="538"/>
      <c r="E508" s="538"/>
      <c r="F508" s="538"/>
      <c r="G508" s="538"/>
      <c r="H508" s="538"/>
      <c r="I508" s="538"/>
      <c r="J508" s="538"/>
      <c r="K508" s="538"/>
      <c r="L508" s="538"/>
      <c r="M508" s="538"/>
      <c r="N508" s="538"/>
      <c r="O508" s="538"/>
      <c r="P508" s="538"/>
      <c r="Q508" s="538"/>
      <c r="R508" s="538"/>
    </row>
    <row r="509" spans="2:18" ht="57" x14ac:dyDescent="0.2">
      <c r="B509" s="367" t="s">
        <v>989</v>
      </c>
      <c r="C509" s="108">
        <f>8308794225*1.7</f>
        <v>14124950182.5</v>
      </c>
      <c r="D509" s="538"/>
      <c r="E509" s="538"/>
      <c r="F509" s="538"/>
      <c r="G509" s="538"/>
      <c r="H509" s="538"/>
      <c r="I509" s="538"/>
      <c r="J509" s="538"/>
      <c r="K509" s="538"/>
      <c r="L509" s="538"/>
      <c r="M509" s="538"/>
      <c r="N509" s="538"/>
      <c r="O509" s="538"/>
      <c r="P509" s="538"/>
      <c r="Q509" s="538"/>
      <c r="R509" s="538"/>
    </row>
    <row r="510" spans="2:18" x14ac:dyDescent="0.2">
      <c r="B510" s="104" t="s">
        <v>990</v>
      </c>
      <c r="C510" s="108">
        <f>1452133575*1.7</f>
        <v>2468627077.5</v>
      </c>
      <c r="D510" s="538"/>
      <c r="E510" s="538"/>
      <c r="F510" s="538"/>
      <c r="G510" s="538"/>
      <c r="H510" s="538"/>
      <c r="I510" s="538"/>
      <c r="J510" s="538"/>
      <c r="K510" s="538"/>
      <c r="L510" s="538"/>
      <c r="M510" s="538"/>
      <c r="N510" s="538"/>
      <c r="O510" s="538"/>
      <c r="P510" s="538"/>
      <c r="Q510" s="538"/>
      <c r="R510" s="538"/>
    </row>
    <row r="511" spans="2:18" x14ac:dyDescent="0.2">
      <c r="B511" s="539"/>
      <c r="C511" s="108">
        <f>+C510+C509</f>
        <v>16593577260</v>
      </c>
      <c r="D511" s="538"/>
      <c r="E511" s="538"/>
      <c r="F511" s="538"/>
      <c r="G511" s="538"/>
      <c r="H511" s="538"/>
      <c r="I511" s="538"/>
      <c r="J511" s="538"/>
      <c r="K511" s="538"/>
      <c r="L511" s="538"/>
      <c r="M511" s="538"/>
      <c r="N511" s="538"/>
      <c r="O511" s="538"/>
      <c r="P511" s="538"/>
      <c r="Q511" s="538"/>
      <c r="R511" s="538"/>
    </row>
    <row r="512" spans="2:18" ht="42.6" customHeight="1" x14ac:dyDescent="0.25">
      <c r="B512" s="532" t="s">
        <v>991</v>
      </c>
      <c r="D512"/>
      <c r="E512"/>
      <c r="F512"/>
      <c r="G512"/>
      <c r="H512"/>
      <c r="I512"/>
      <c r="J512" s="538"/>
      <c r="K512" s="538"/>
      <c r="L512" s="538"/>
      <c r="M512" s="538"/>
      <c r="N512" s="538"/>
      <c r="O512" s="538"/>
      <c r="P512" s="538"/>
      <c r="Q512" s="538"/>
      <c r="R512" s="538"/>
    </row>
    <row r="513" spans="2:7" x14ac:dyDescent="0.2">
      <c r="C513" s="115"/>
    </row>
    <row r="514" spans="2:7" x14ac:dyDescent="0.2">
      <c r="B514" s="540"/>
      <c r="C514" s="540"/>
      <c r="D514" s="541"/>
    </row>
    <row r="515" spans="2:7" ht="15" x14ac:dyDescent="0.25">
      <c r="B515" s="381" t="s">
        <v>992</v>
      </c>
    </row>
    <row r="516" spans="2:7" s="102" customFormat="1" ht="15" x14ac:dyDescent="0.25">
      <c r="C516" s="542" t="s">
        <v>993</v>
      </c>
      <c r="D516" s="101"/>
    </row>
    <row r="517" spans="2:7" s="102" customFormat="1" ht="15" x14ac:dyDescent="0.25">
      <c r="B517" s="381" t="s">
        <v>994</v>
      </c>
      <c r="C517" s="513">
        <v>3</v>
      </c>
      <c r="D517" s="513">
        <v>4</v>
      </c>
      <c r="E517" s="513">
        <v>5</v>
      </c>
      <c r="F517" s="513">
        <v>6</v>
      </c>
      <c r="G517" s="513">
        <v>7</v>
      </c>
    </row>
    <row r="518" spans="2:7" s="102" customFormat="1" ht="15" x14ac:dyDescent="0.25">
      <c r="B518" s="381" t="s">
        <v>875</v>
      </c>
      <c r="C518" s="381" t="s">
        <v>54</v>
      </c>
      <c r="D518" s="381" t="s">
        <v>54</v>
      </c>
      <c r="E518" s="381" t="s">
        <v>54</v>
      </c>
      <c r="F518" s="381" t="s">
        <v>54</v>
      </c>
      <c r="G518" s="381" t="s">
        <v>54</v>
      </c>
    </row>
    <row r="519" spans="2:7" s="102" customFormat="1" x14ac:dyDescent="0.2">
      <c r="B519" s="478" t="s">
        <v>995</v>
      </c>
      <c r="C519" s="478">
        <f>193401 + (193401 *10%)</f>
        <v>212741.1</v>
      </c>
      <c r="D519" s="478">
        <f>C519 + (193401 *10%)</f>
        <v>232081.2</v>
      </c>
      <c r="E519" s="478">
        <f>D519 + (193401 *10%)</f>
        <v>251421.30000000002</v>
      </c>
      <c r="F519" s="478">
        <f>E519 + (193401 *10%)</f>
        <v>270761.40000000002</v>
      </c>
      <c r="G519" s="478">
        <f>F519+(F519*10%)</f>
        <v>297837.54000000004</v>
      </c>
    </row>
    <row r="520" spans="2:7" s="102" customFormat="1" x14ac:dyDescent="0.2">
      <c r="B520" s="478" t="s">
        <v>996</v>
      </c>
      <c r="C520" s="543">
        <v>5.8</v>
      </c>
      <c r="D520" s="543">
        <f xml:space="preserve"> C520+(C520*5%)</f>
        <v>6.09</v>
      </c>
      <c r="E520" s="543">
        <f xml:space="preserve"> D520+(D520*5%)</f>
        <v>6.3944999999999999</v>
      </c>
      <c r="F520" s="543">
        <f xml:space="preserve"> E520+(E520*5%)</f>
        <v>6.7142249999999999</v>
      </c>
      <c r="G520" s="543">
        <f xml:space="preserve"> F520+(F520*5%)</f>
        <v>7.04993625</v>
      </c>
    </row>
    <row r="521" spans="2:7" s="102" customFormat="1" x14ac:dyDescent="0.2">
      <c r="B521" s="478" t="s">
        <v>997</v>
      </c>
      <c r="C521" s="478">
        <f>C519*C520</f>
        <v>1233898.3799999999</v>
      </c>
      <c r="D521" s="478">
        <f>D519*D520</f>
        <v>1413374.5080000001</v>
      </c>
      <c r="E521" s="478">
        <f>E519*E520</f>
        <v>1607713.50285</v>
      </c>
      <c r="F521" s="478">
        <f>F519*F520</f>
        <v>1817952.9609150002</v>
      </c>
      <c r="G521" s="478">
        <f>G519*G520</f>
        <v>2099735.6698568254</v>
      </c>
    </row>
    <row r="522" spans="2:7" s="102" customFormat="1" ht="15" x14ac:dyDescent="0.25">
      <c r="B522" s="544">
        <f>20%</f>
        <v>0.2</v>
      </c>
      <c r="C522" s="545">
        <f>C521*$B$522</f>
        <v>246779.67599999998</v>
      </c>
      <c r="D522" s="545">
        <f t="shared" ref="D522:G522" si="4">D521*$B$522</f>
        <v>282674.90160000004</v>
      </c>
      <c r="E522" s="545">
        <f t="shared" si="4"/>
        <v>321542.70057000004</v>
      </c>
      <c r="F522" s="545">
        <f t="shared" si="4"/>
        <v>363590.59218300006</v>
      </c>
      <c r="G522" s="545">
        <f t="shared" si="4"/>
        <v>419947.13397136511</v>
      </c>
    </row>
    <row r="523" spans="2:7" s="102" customFormat="1" ht="19.5" customHeight="1" x14ac:dyDescent="0.2">
      <c r="B523" s="478" t="s">
        <v>998</v>
      </c>
      <c r="C523" s="478">
        <v>1000000</v>
      </c>
      <c r="D523" s="478">
        <v>1000000</v>
      </c>
      <c r="E523" s="478">
        <v>1000000</v>
      </c>
      <c r="F523" s="478">
        <v>1000000</v>
      </c>
      <c r="G523" s="478">
        <v>1000000</v>
      </c>
    </row>
    <row r="524" spans="2:7" s="102" customFormat="1" ht="19.5" customHeight="1" x14ac:dyDescent="0.2">
      <c r="B524" s="478" t="s">
        <v>999</v>
      </c>
      <c r="C524" s="546">
        <f>C522</f>
        <v>246779.67599999998</v>
      </c>
      <c r="D524" s="546">
        <f>D522</f>
        <v>282674.90160000004</v>
      </c>
      <c r="E524" s="546">
        <f>E522</f>
        <v>321542.70057000004</v>
      </c>
      <c r="F524" s="546">
        <f>F522</f>
        <v>363590.59218300006</v>
      </c>
      <c r="G524" s="546">
        <f>G522</f>
        <v>419947.13397136511</v>
      </c>
    </row>
    <row r="525" spans="2:7" s="102" customFormat="1" ht="19.5" customHeight="1" x14ac:dyDescent="0.2">
      <c r="B525" s="478" t="s">
        <v>1000</v>
      </c>
      <c r="C525" s="395">
        <f>(3.75%)</f>
        <v>3.7499999999999999E-2</v>
      </c>
      <c r="D525" s="395">
        <f>(3.75%)</f>
        <v>3.7499999999999999E-2</v>
      </c>
      <c r="E525" s="395">
        <f>(3.75%)</f>
        <v>3.7499999999999999E-2</v>
      </c>
      <c r="F525" s="395">
        <f>(3.75%)</f>
        <v>3.7499999999999999E-2</v>
      </c>
      <c r="G525" s="395">
        <f>(3.75%)</f>
        <v>3.7499999999999999E-2</v>
      </c>
    </row>
    <row r="526" spans="2:7" s="102" customFormat="1" ht="19.5" customHeight="1" x14ac:dyDescent="0.2">
      <c r="B526" s="478" t="s">
        <v>1001</v>
      </c>
      <c r="C526" s="205">
        <v>4.0000000000000002E-4</v>
      </c>
      <c r="D526" s="205">
        <v>4.0000000000000002E-4</v>
      </c>
      <c r="E526" s="205">
        <v>4.0000000000000002E-4</v>
      </c>
      <c r="F526" s="205">
        <v>4.0000000000000002E-4</v>
      </c>
      <c r="G526" s="205">
        <v>4.0000000000000002E-4</v>
      </c>
    </row>
    <row r="527" spans="2:7" s="102" customFormat="1" ht="19.5" customHeight="1" x14ac:dyDescent="0.25">
      <c r="B527" s="48"/>
      <c r="C527" s="384">
        <f>C523*(C525+C526)*50%</f>
        <v>18949.999999999996</v>
      </c>
      <c r="D527" s="384">
        <f>D523*(D525+D526)*50%</f>
        <v>18949.999999999996</v>
      </c>
      <c r="E527" s="384">
        <f>E523*(E525+E526)*50%</f>
        <v>18949.999999999996</v>
      </c>
      <c r="F527" s="384">
        <f>F523*(F525+F526)*50%</f>
        <v>18949.999999999996</v>
      </c>
      <c r="G527" s="384">
        <f>G523*(G525+G526)*50%</f>
        <v>18949.999999999996</v>
      </c>
    </row>
    <row r="528" spans="2:7" s="102" customFormat="1" ht="30.95" customHeight="1" x14ac:dyDescent="0.25">
      <c r="B528" s="547" t="s">
        <v>1002</v>
      </c>
      <c r="C528" s="542">
        <f>+C527*C522</f>
        <v>4676474860.1999989</v>
      </c>
      <c r="D528" s="542">
        <f>+D527*D522</f>
        <v>5356689385.3199997</v>
      </c>
      <c r="E528" s="542">
        <f>+E527*E522</f>
        <v>6093234175.8014994</v>
      </c>
      <c r="F528" s="542">
        <f>+F527*F522</f>
        <v>6890041721.8678493</v>
      </c>
      <c r="G528" s="542">
        <f>+G527*G522</f>
        <v>7957998188.7573671</v>
      </c>
    </row>
    <row r="529" spans="1:18" s="102" customFormat="1" x14ac:dyDescent="0.2">
      <c r="C529" s="432"/>
      <c r="D529" s="432"/>
    </row>
    <row r="530" spans="1:18" s="102" customFormat="1" x14ac:dyDescent="0.2">
      <c r="C530" s="432"/>
      <c r="D530" s="432"/>
    </row>
    <row r="531" spans="1:18" s="102" customFormat="1" ht="15" x14ac:dyDescent="0.25">
      <c r="B531" s="381" t="s">
        <v>1003</v>
      </c>
      <c r="C531" s="432"/>
      <c r="D531" s="432"/>
    </row>
    <row r="532" spans="1:18" x14ac:dyDescent="0.2">
      <c r="B532" s="548" t="s">
        <v>1004</v>
      </c>
      <c r="C532" s="50">
        <v>38004</v>
      </c>
      <c r="D532" s="25"/>
      <c r="E532" s="25"/>
      <c r="F532" s="525"/>
      <c r="G532" s="25"/>
      <c r="H532" s="25"/>
      <c r="I532" s="418"/>
      <c r="J532" s="418"/>
      <c r="K532" s="25"/>
      <c r="L532" s="25"/>
      <c r="M532" s="25"/>
      <c r="N532" s="25"/>
      <c r="O532" s="25"/>
      <c r="P532" s="25"/>
      <c r="Q532" s="25"/>
      <c r="R532" s="25"/>
    </row>
    <row r="533" spans="1:18" ht="30" x14ac:dyDescent="0.2">
      <c r="B533" s="549" t="s">
        <v>1005</v>
      </c>
      <c r="C533" s="550" t="s">
        <v>1006</v>
      </c>
      <c r="D533" s="550" t="s">
        <v>1007</v>
      </c>
      <c r="E533" s="550" t="s">
        <v>1008</v>
      </c>
      <c r="F533" s="550" t="s">
        <v>1009</v>
      </c>
      <c r="G533" s="550" t="s">
        <v>1010</v>
      </c>
      <c r="H533" s="550" t="s">
        <v>1011</v>
      </c>
      <c r="I533" s="418"/>
      <c r="J533" s="418"/>
      <c r="K533" s="25"/>
      <c r="L533" s="25"/>
      <c r="M533" s="25"/>
      <c r="N533" s="25"/>
      <c r="O533" s="25"/>
      <c r="P533" s="25"/>
      <c r="Q533" s="25"/>
      <c r="R533" s="25"/>
    </row>
    <row r="534" spans="1:18" ht="15" x14ac:dyDescent="0.2">
      <c r="B534" s="551" t="s">
        <v>1012</v>
      </c>
      <c r="C534" s="552">
        <v>23563</v>
      </c>
      <c r="D534" s="553">
        <f>C532*C534</f>
        <v>895488252</v>
      </c>
      <c r="E534" s="554">
        <v>0.1</v>
      </c>
      <c r="F534" s="50">
        <f>D534*E534</f>
        <v>89548825.200000003</v>
      </c>
      <c r="G534" s="554">
        <v>0.1</v>
      </c>
      <c r="H534" s="555">
        <f>F534*G534</f>
        <v>8954882.5200000014</v>
      </c>
      <c r="I534" s="418"/>
      <c r="J534" s="418"/>
      <c r="K534" s="25"/>
      <c r="L534" s="25"/>
      <c r="M534" s="25"/>
      <c r="N534" s="25"/>
      <c r="O534" s="25"/>
      <c r="P534" s="25"/>
      <c r="Q534" s="25"/>
      <c r="R534" s="25"/>
    </row>
    <row r="535" spans="1:18" ht="15" x14ac:dyDescent="0.2">
      <c r="B535" s="556" t="s">
        <v>1013</v>
      </c>
      <c r="C535" s="552">
        <v>204995</v>
      </c>
      <c r="D535" s="553">
        <f>C532*C535</f>
        <v>7790629980</v>
      </c>
      <c r="E535" s="554">
        <v>0.05</v>
      </c>
      <c r="F535" s="50">
        <f>D535*E535</f>
        <v>389531499</v>
      </c>
      <c r="G535" s="554">
        <v>0.05</v>
      </c>
      <c r="H535" s="555">
        <f>F535*G535</f>
        <v>19476574.949999999</v>
      </c>
      <c r="I535" s="418"/>
      <c r="J535" s="418"/>
      <c r="K535" s="25"/>
      <c r="L535" s="25"/>
      <c r="M535" s="25"/>
      <c r="N535" s="25"/>
      <c r="O535" s="25"/>
      <c r="P535" s="25"/>
      <c r="Q535" s="25"/>
      <c r="R535" s="25"/>
    </row>
    <row r="536" spans="1:18" x14ac:dyDescent="0.2">
      <c r="B536" s="551" t="s">
        <v>1014</v>
      </c>
      <c r="C536" s="552">
        <v>1736565</v>
      </c>
      <c r="D536" s="553">
        <f>C532*C536</f>
        <v>65996416260</v>
      </c>
      <c r="E536" s="554"/>
      <c r="F536" s="50">
        <f>D536*E536</f>
        <v>0</v>
      </c>
      <c r="G536" s="554"/>
      <c r="H536" s="557">
        <f>F536*G536</f>
        <v>0</v>
      </c>
      <c r="I536" s="418"/>
      <c r="J536" s="418"/>
      <c r="K536" s="25"/>
      <c r="L536" s="25"/>
      <c r="M536" s="25"/>
      <c r="N536" s="25"/>
      <c r="O536" s="25"/>
      <c r="P536" s="25"/>
      <c r="Q536" s="25"/>
      <c r="R536" s="25"/>
    </row>
    <row r="537" spans="1:18" x14ac:dyDescent="0.2">
      <c r="B537" s="418"/>
      <c r="C537" s="558"/>
      <c r="D537" s="559"/>
      <c r="E537" s="560"/>
      <c r="F537" s="525"/>
      <c r="G537" s="560"/>
      <c r="H537" s="561"/>
      <c r="I537" s="418"/>
      <c r="J537" s="418"/>
      <c r="K537" s="25"/>
      <c r="L537" s="25"/>
      <c r="M537" s="25"/>
      <c r="N537" s="25"/>
      <c r="O537" s="25"/>
      <c r="P537" s="25"/>
      <c r="Q537" s="25"/>
      <c r="R537" s="25"/>
    </row>
    <row r="538" spans="1:18" ht="15" x14ac:dyDescent="0.25">
      <c r="B538" s="466" t="s">
        <v>1330</v>
      </c>
      <c r="C538" s="649"/>
      <c r="D538" s="538"/>
      <c r="E538" s="538"/>
      <c r="F538" s="538"/>
      <c r="G538" s="538"/>
      <c r="H538" s="538"/>
      <c r="I538" s="538"/>
      <c r="J538" s="538"/>
    </row>
    <row r="539" spans="1:18" ht="15" x14ac:dyDescent="0.25">
      <c r="B539" s="466" t="s">
        <v>300</v>
      </c>
      <c r="C539" s="466" t="s">
        <v>1139</v>
      </c>
      <c r="D539" s="538"/>
      <c r="E539" s="466" t="s">
        <v>1140</v>
      </c>
      <c r="F539" s="466" t="s">
        <v>1141</v>
      </c>
      <c r="G539" s="466" t="s">
        <v>1142</v>
      </c>
      <c r="H539" s="538"/>
      <c r="I539" s="538"/>
      <c r="J539" s="538"/>
    </row>
    <row r="540" spans="1:18" ht="15" x14ac:dyDescent="0.25">
      <c r="A540" s="103"/>
      <c r="B540" s="466" t="s">
        <v>1143</v>
      </c>
      <c r="C540" s="466">
        <v>3</v>
      </c>
      <c r="D540" s="466" t="s">
        <v>1144</v>
      </c>
      <c r="E540" s="641">
        <v>300</v>
      </c>
      <c r="F540" s="650">
        <f>D23+C123</f>
        <v>4316384</v>
      </c>
      <c r="G540" s="641">
        <v>8</v>
      </c>
      <c r="H540" s="538"/>
      <c r="I540" s="538"/>
      <c r="J540" s="538"/>
    </row>
    <row r="541" spans="1:18" x14ac:dyDescent="0.2">
      <c r="A541" s="646">
        <v>1</v>
      </c>
      <c r="B541" s="651">
        <v>170000</v>
      </c>
      <c r="C541" s="651">
        <f>B541/2</f>
        <v>85000</v>
      </c>
      <c r="D541" s="54">
        <f>C541/3</f>
        <v>28333.333333333332</v>
      </c>
      <c r="E541" s="652">
        <f t="shared" ref="E541:E560" si="5">D541/E$540</f>
        <v>94.444444444444443</v>
      </c>
      <c r="F541" s="652">
        <f t="shared" ref="F541:G560" si="6">E541*F$540</f>
        <v>407658488.8888889</v>
      </c>
      <c r="G541" s="652">
        <f t="shared" si="6"/>
        <v>3261267911.1111112</v>
      </c>
      <c r="H541" s="538"/>
      <c r="I541" s="538"/>
      <c r="J541" s="538"/>
    </row>
    <row r="542" spans="1:18" x14ac:dyDescent="0.2">
      <c r="A542" s="646">
        <v>2</v>
      </c>
      <c r="B542" s="54">
        <f xml:space="preserve"> B541-(B541*0.06)</f>
        <v>159800</v>
      </c>
      <c r="C542" s="651">
        <f t="shared" ref="C542:C560" si="7">B542/2</f>
        <v>79900</v>
      </c>
      <c r="D542" s="54">
        <f t="shared" ref="D542:D560" si="8">C542/3</f>
        <v>26633.333333333332</v>
      </c>
      <c r="E542" s="652">
        <f t="shared" si="5"/>
        <v>88.777777777777771</v>
      </c>
      <c r="F542" s="652">
        <f t="shared" si="6"/>
        <v>383198979.55555552</v>
      </c>
      <c r="G542" s="652">
        <f t="shared" si="6"/>
        <v>3065591836.4444442</v>
      </c>
      <c r="H542" s="538"/>
      <c r="I542" s="538"/>
      <c r="J542" s="538"/>
    </row>
    <row r="543" spans="1:18" x14ac:dyDescent="0.2">
      <c r="A543" s="646">
        <v>3</v>
      </c>
      <c r="B543" s="54">
        <f t="shared" ref="B543:B560" si="9" xml:space="preserve"> B542-(B542*0.06)</f>
        <v>150212</v>
      </c>
      <c r="C543" s="651">
        <f t="shared" si="7"/>
        <v>75106</v>
      </c>
      <c r="D543" s="54">
        <f t="shared" si="8"/>
        <v>25035.333333333332</v>
      </c>
      <c r="E543" s="652">
        <f t="shared" si="5"/>
        <v>83.451111111111103</v>
      </c>
      <c r="F543" s="652">
        <f t="shared" si="6"/>
        <v>360207040.78222221</v>
      </c>
      <c r="G543" s="652">
        <f t="shared" si="6"/>
        <v>2881656326.2577777</v>
      </c>
      <c r="H543" s="538"/>
      <c r="I543" s="538"/>
      <c r="J543" s="538"/>
    </row>
    <row r="544" spans="1:18" x14ac:dyDescent="0.2">
      <c r="A544" s="646">
        <v>4</v>
      </c>
      <c r="B544" s="54">
        <f t="shared" si="9"/>
        <v>141199.28</v>
      </c>
      <c r="C544" s="651">
        <f t="shared" si="7"/>
        <v>70599.64</v>
      </c>
      <c r="D544" s="54">
        <f t="shared" si="8"/>
        <v>23533.213333333333</v>
      </c>
      <c r="E544" s="652">
        <f t="shared" si="5"/>
        <v>78.444044444444444</v>
      </c>
      <c r="F544" s="652">
        <f t="shared" si="6"/>
        <v>338594618.33528888</v>
      </c>
      <c r="G544" s="652">
        <f t="shared" si="6"/>
        <v>2708756946.6823111</v>
      </c>
      <c r="H544" s="538"/>
      <c r="I544" s="538"/>
      <c r="J544" s="538"/>
    </row>
    <row r="545" spans="1:10" x14ac:dyDescent="0.2">
      <c r="A545" s="646">
        <v>5</v>
      </c>
      <c r="B545" s="54">
        <f t="shared" si="9"/>
        <v>132727.32319999998</v>
      </c>
      <c r="C545" s="651">
        <f t="shared" si="7"/>
        <v>66363.661599999992</v>
      </c>
      <c r="D545" s="54">
        <f t="shared" si="8"/>
        <v>22121.22053333333</v>
      </c>
      <c r="E545" s="652">
        <f t="shared" si="5"/>
        <v>73.737401777777762</v>
      </c>
      <c r="F545" s="652">
        <f t="shared" si="6"/>
        <v>318278941.2351715</v>
      </c>
      <c r="G545" s="652">
        <f t="shared" si="6"/>
        <v>2546231529.881372</v>
      </c>
      <c r="H545" s="538"/>
      <c r="I545" s="538"/>
      <c r="J545" s="538"/>
    </row>
    <row r="546" spans="1:10" x14ac:dyDescent="0.2">
      <c r="A546" s="646">
        <v>6</v>
      </c>
      <c r="B546" s="54">
        <f t="shared" si="9"/>
        <v>124763.68380799999</v>
      </c>
      <c r="C546" s="651">
        <f t="shared" si="7"/>
        <v>62381.841903999994</v>
      </c>
      <c r="D546" s="54">
        <f t="shared" si="8"/>
        <v>20793.94730133333</v>
      </c>
      <c r="E546" s="652">
        <f t="shared" si="5"/>
        <v>69.313157671111099</v>
      </c>
      <c r="F546" s="652">
        <f t="shared" si="6"/>
        <v>299182204.76106119</v>
      </c>
      <c r="G546" s="652">
        <f t="shared" si="6"/>
        <v>2393457638.0884895</v>
      </c>
      <c r="H546" s="538"/>
      <c r="I546" s="538"/>
      <c r="J546" s="538"/>
    </row>
    <row r="547" spans="1:10" x14ac:dyDescent="0.2">
      <c r="A547" s="646">
        <v>7</v>
      </c>
      <c r="B547" s="54">
        <f t="shared" si="9"/>
        <v>117277.86277951999</v>
      </c>
      <c r="C547" s="651">
        <f t="shared" si="7"/>
        <v>58638.931389759993</v>
      </c>
      <c r="D547" s="54">
        <f t="shared" si="8"/>
        <v>19546.310463253332</v>
      </c>
      <c r="E547" s="652">
        <f t="shared" si="5"/>
        <v>65.154368210844439</v>
      </c>
      <c r="F547" s="652">
        <f t="shared" si="6"/>
        <v>281231272.47539759</v>
      </c>
      <c r="G547" s="652">
        <f t="shared" si="6"/>
        <v>2249850179.8031807</v>
      </c>
      <c r="H547" s="538"/>
      <c r="I547" s="538"/>
      <c r="J547" s="538"/>
    </row>
    <row r="548" spans="1:10" x14ac:dyDescent="0.2">
      <c r="A548" s="646">
        <v>8</v>
      </c>
      <c r="B548" s="54">
        <f t="shared" si="9"/>
        <v>110241.19101274879</v>
      </c>
      <c r="C548" s="651">
        <f t="shared" si="7"/>
        <v>55120.595506374397</v>
      </c>
      <c r="D548" s="54">
        <f t="shared" si="8"/>
        <v>18373.531835458132</v>
      </c>
      <c r="E548" s="652">
        <f t="shared" si="5"/>
        <v>61.245106118193775</v>
      </c>
      <c r="F548" s="652">
        <f t="shared" si="6"/>
        <v>264357396.12687373</v>
      </c>
      <c r="G548" s="652">
        <f t="shared" si="6"/>
        <v>2114859169.0149899</v>
      </c>
      <c r="H548" s="538"/>
      <c r="I548" s="538"/>
      <c r="J548" s="538"/>
    </row>
    <row r="549" spans="1:10" x14ac:dyDescent="0.2">
      <c r="A549" s="646">
        <v>9</v>
      </c>
      <c r="B549" s="54">
        <f t="shared" si="9"/>
        <v>103626.71955198387</v>
      </c>
      <c r="C549" s="651">
        <f t="shared" si="7"/>
        <v>51813.359775991936</v>
      </c>
      <c r="D549" s="54">
        <f t="shared" si="8"/>
        <v>17271.119925330644</v>
      </c>
      <c r="E549" s="652">
        <f t="shared" si="5"/>
        <v>57.570399751102144</v>
      </c>
      <c r="F549" s="652">
        <f t="shared" si="6"/>
        <v>248495952.35926127</v>
      </c>
      <c r="G549" s="652">
        <f t="shared" si="6"/>
        <v>1987967618.8740902</v>
      </c>
      <c r="H549" s="538"/>
      <c r="I549" s="538"/>
      <c r="J549" s="538"/>
    </row>
    <row r="550" spans="1:10" x14ac:dyDescent="0.2">
      <c r="A550" s="646">
        <v>10</v>
      </c>
      <c r="B550" s="54">
        <f t="shared" si="9"/>
        <v>97409.116378864841</v>
      </c>
      <c r="C550" s="651">
        <f t="shared" si="7"/>
        <v>48704.55818943242</v>
      </c>
      <c r="D550" s="54">
        <f t="shared" si="8"/>
        <v>16234.852729810807</v>
      </c>
      <c r="E550" s="652">
        <f t="shared" si="5"/>
        <v>54.116175766036022</v>
      </c>
      <c r="F550" s="652">
        <f t="shared" si="6"/>
        <v>233586195.21770564</v>
      </c>
      <c r="G550" s="652">
        <f t="shared" si="6"/>
        <v>1868689561.7416451</v>
      </c>
      <c r="H550" s="538"/>
      <c r="I550" s="538"/>
      <c r="J550" s="538"/>
    </row>
    <row r="551" spans="1:10" x14ac:dyDescent="0.2">
      <c r="A551" s="646">
        <v>11</v>
      </c>
      <c r="B551" s="54">
        <f t="shared" si="9"/>
        <v>91564.569396132953</v>
      </c>
      <c r="C551" s="651">
        <f t="shared" si="7"/>
        <v>45782.284698066476</v>
      </c>
      <c r="D551" s="54">
        <f t="shared" si="8"/>
        <v>15260.761566022158</v>
      </c>
      <c r="E551" s="652">
        <f t="shared" si="5"/>
        <v>50.869205220073859</v>
      </c>
      <c r="F551" s="652">
        <f t="shared" si="6"/>
        <v>219571023.50464329</v>
      </c>
      <c r="G551" s="652">
        <f t="shared" si="6"/>
        <v>1756568188.0371463</v>
      </c>
      <c r="H551" s="538"/>
      <c r="I551" s="538"/>
      <c r="J551" s="538"/>
    </row>
    <row r="552" spans="1:10" x14ac:dyDescent="0.2">
      <c r="A552" s="646">
        <v>12</v>
      </c>
      <c r="B552" s="54">
        <f t="shared" si="9"/>
        <v>86070.695232364975</v>
      </c>
      <c r="C552" s="651">
        <f t="shared" si="7"/>
        <v>43035.347616182487</v>
      </c>
      <c r="D552" s="54">
        <f t="shared" si="8"/>
        <v>14345.115872060829</v>
      </c>
      <c r="E552" s="652">
        <f t="shared" si="5"/>
        <v>47.817052906869428</v>
      </c>
      <c r="F552" s="652">
        <f t="shared" si="6"/>
        <v>206396762.0943647</v>
      </c>
      <c r="G552" s="652">
        <f t="shared" si="6"/>
        <v>1651174096.7549176</v>
      </c>
      <c r="H552" s="538"/>
      <c r="I552" s="538"/>
      <c r="J552" s="538"/>
    </row>
    <row r="553" spans="1:10" x14ac:dyDescent="0.2">
      <c r="A553" s="646">
        <v>13</v>
      </c>
      <c r="B553" s="54">
        <f t="shared" si="9"/>
        <v>80906.453518423077</v>
      </c>
      <c r="C553" s="651">
        <f t="shared" si="7"/>
        <v>40453.226759211539</v>
      </c>
      <c r="D553" s="54">
        <f t="shared" si="8"/>
        <v>13484.40891973718</v>
      </c>
      <c r="E553" s="652">
        <f t="shared" si="5"/>
        <v>44.948029732457265</v>
      </c>
      <c r="F553" s="652">
        <f t="shared" si="6"/>
        <v>194012956.36870283</v>
      </c>
      <c r="G553" s="652">
        <f t="shared" si="6"/>
        <v>1552103650.9496226</v>
      </c>
      <c r="H553" s="538"/>
      <c r="I553" s="538"/>
      <c r="J553" s="538"/>
    </row>
    <row r="554" spans="1:10" x14ac:dyDescent="0.2">
      <c r="A554" s="646">
        <v>14</v>
      </c>
      <c r="B554" s="54">
        <f t="shared" si="9"/>
        <v>76052.066307317698</v>
      </c>
      <c r="C554" s="651">
        <f t="shared" si="7"/>
        <v>38026.033153658849</v>
      </c>
      <c r="D554" s="54">
        <f t="shared" si="8"/>
        <v>12675.344384552949</v>
      </c>
      <c r="E554" s="652">
        <f t="shared" si="5"/>
        <v>42.251147948509832</v>
      </c>
      <c r="F554" s="652">
        <f t="shared" si="6"/>
        <v>182372178.98658067</v>
      </c>
      <c r="G554" s="652">
        <f t="shared" si="6"/>
        <v>1458977431.8926454</v>
      </c>
      <c r="H554" s="538"/>
      <c r="I554" s="538"/>
      <c r="J554" s="538"/>
    </row>
    <row r="555" spans="1:10" x14ac:dyDescent="0.2">
      <c r="A555" s="646">
        <v>15</v>
      </c>
      <c r="B555" s="54">
        <f t="shared" si="9"/>
        <v>71488.942328878635</v>
      </c>
      <c r="C555" s="651">
        <f t="shared" si="7"/>
        <v>35744.471164439317</v>
      </c>
      <c r="D555" s="54">
        <f t="shared" si="8"/>
        <v>11914.823721479772</v>
      </c>
      <c r="E555" s="652">
        <f t="shared" si="5"/>
        <v>39.716079071599239</v>
      </c>
      <c r="F555" s="652">
        <f t="shared" si="6"/>
        <v>171429848.2473858</v>
      </c>
      <c r="G555" s="652">
        <f t="shared" si="6"/>
        <v>1371438785.9790864</v>
      </c>
      <c r="H555" s="538"/>
      <c r="I555" s="538"/>
      <c r="J555" s="538"/>
    </row>
    <row r="556" spans="1:10" x14ac:dyDescent="0.2">
      <c r="A556" s="646">
        <v>16</v>
      </c>
      <c r="B556" s="54">
        <f t="shared" si="9"/>
        <v>67199.60578914592</v>
      </c>
      <c r="C556" s="651">
        <f t="shared" si="7"/>
        <v>33599.80289457296</v>
      </c>
      <c r="D556" s="54">
        <f t="shared" si="8"/>
        <v>11199.934298190987</v>
      </c>
      <c r="E556" s="652">
        <f t="shared" si="5"/>
        <v>37.333114327303292</v>
      </c>
      <c r="F556" s="652">
        <f t="shared" si="6"/>
        <v>161144057.3525427</v>
      </c>
      <c r="G556" s="652">
        <f t="shared" si="6"/>
        <v>1289152458.8203416</v>
      </c>
      <c r="H556" s="538"/>
      <c r="I556" s="538"/>
      <c r="J556" s="538"/>
    </row>
    <row r="557" spans="1:10" x14ac:dyDescent="0.2">
      <c r="A557" s="646">
        <v>17</v>
      </c>
      <c r="B557" s="54">
        <f t="shared" si="9"/>
        <v>63167.629441797166</v>
      </c>
      <c r="C557" s="651">
        <f t="shared" si="7"/>
        <v>31583.814720898583</v>
      </c>
      <c r="D557" s="54">
        <f t="shared" si="8"/>
        <v>10527.938240299527</v>
      </c>
      <c r="E557" s="652">
        <f t="shared" si="5"/>
        <v>35.093127467665092</v>
      </c>
      <c r="F557" s="652">
        <f t="shared" si="6"/>
        <v>151475413.91139013</v>
      </c>
      <c r="G557" s="652">
        <f t="shared" si="6"/>
        <v>1211803311.291121</v>
      </c>
      <c r="H557" s="538"/>
      <c r="I557" s="538"/>
      <c r="J557" s="538"/>
    </row>
    <row r="558" spans="1:10" x14ac:dyDescent="0.2">
      <c r="A558" s="646">
        <v>18</v>
      </c>
      <c r="B558" s="54">
        <f t="shared" si="9"/>
        <v>59377.571675289335</v>
      </c>
      <c r="C558" s="651">
        <f t="shared" si="7"/>
        <v>29688.785837644667</v>
      </c>
      <c r="D558" s="54">
        <f t="shared" si="8"/>
        <v>9896.2619458815552</v>
      </c>
      <c r="E558" s="652">
        <f t="shared" si="5"/>
        <v>32.987539819605182</v>
      </c>
      <c r="F558" s="652">
        <f t="shared" si="6"/>
        <v>142386889.07670671</v>
      </c>
      <c r="G558" s="652">
        <f t="shared" si="6"/>
        <v>1139095112.6136537</v>
      </c>
      <c r="H558" s="538"/>
      <c r="I558" s="538"/>
      <c r="J558" s="538"/>
    </row>
    <row r="559" spans="1:10" x14ac:dyDescent="0.2">
      <c r="A559" s="646">
        <v>19</v>
      </c>
      <c r="B559" s="54">
        <f t="shared" si="9"/>
        <v>55814.917374771976</v>
      </c>
      <c r="C559" s="651">
        <f t="shared" si="7"/>
        <v>27907.458687385988</v>
      </c>
      <c r="D559" s="54">
        <f t="shared" si="8"/>
        <v>9302.4862291286627</v>
      </c>
      <c r="E559" s="652">
        <f t="shared" si="5"/>
        <v>31.008287430428876</v>
      </c>
      <c r="F559" s="652">
        <f t="shared" si="6"/>
        <v>133843675.73210432</v>
      </c>
      <c r="G559" s="652">
        <f t="shared" si="6"/>
        <v>1070749405.8568345</v>
      </c>
      <c r="H559" s="538"/>
      <c r="I559" s="538"/>
      <c r="J559" s="538"/>
    </row>
    <row r="560" spans="1:10" hidden="1" x14ac:dyDescent="0.2">
      <c r="A560" s="646">
        <v>20</v>
      </c>
      <c r="B560" s="54">
        <f t="shared" si="9"/>
        <v>52466.022332285655</v>
      </c>
      <c r="C560" s="651">
        <f t="shared" si="7"/>
        <v>26233.011166142827</v>
      </c>
      <c r="D560" s="54">
        <f t="shared" si="8"/>
        <v>8744.3370553809418</v>
      </c>
      <c r="E560" s="652">
        <f t="shared" si="5"/>
        <v>29.147790184603139</v>
      </c>
      <c r="F560" s="652">
        <f t="shared" si="6"/>
        <v>125813055.18817803</v>
      </c>
      <c r="G560" s="652">
        <f t="shared" si="6"/>
        <v>1006504441.5054243</v>
      </c>
      <c r="H560" s="538"/>
      <c r="I560" s="538"/>
      <c r="J560" s="538"/>
    </row>
    <row r="561" spans="1:24" x14ac:dyDescent="0.2">
      <c r="A561" s="649"/>
      <c r="B561" s="649"/>
      <c r="C561" s="649"/>
      <c r="D561" s="538"/>
      <c r="E561" s="538"/>
      <c r="F561" s="538"/>
      <c r="G561" s="538"/>
      <c r="H561" s="538"/>
      <c r="I561" s="538"/>
      <c r="J561" s="538"/>
    </row>
    <row r="562" spans="1:24" x14ac:dyDescent="0.2">
      <c r="A562" s="649"/>
      <c r="B562" s="649"/>
      <c r="C562" s="649"/>
      <c r="D562" s="538"/>
      <c r="E562" s="538"/>
      <c r="F562" s="538"/>
      <c r="G562" s="538"/>
      <c r="H562" s="538"/>
      <c r="I562" s="538"/>
      <c r="J562" s="538"/>
    </row>
    <row r="563" spans="1:24" ht="15" x14ac:dyDescent="0.25">
      <c r="B563" s="403" t="s">
        <v>1331</v>
      </c>
      <c r="C563" s="558"/>
      <c r="D563" s="559"/>
      <c r="E563" s="560"/>
      <c r="F563" s="525"/>
      <c r="G563" s="560"/>
      <c r="H563" s="561"/>
      <c r="I563" s="418"/>
      <c r="J563" s="418"/>
      <c r="K563" s="25"/>
      <c r="L563" s="25"/>
      <c r="M563" s="25"/>
      <c r="N563" s="25"/>
      <c r="O563" s="25"/>
      <c r="P563" s="25"/>
      <c r="Q563" s="25"/>
      <c r="R563" s="25"/>
    </row>
    <row r="564" spans="1:24" ht="23.1" customHeight="1" x14ac:dyDescent="0.25">
      <c r="B564" s="513" t="s">
        <v>598</v>
      </c>
      <c r="C564" s="513">
        <v>2</v>
      </c>
      <c r="D564" s="513">
        <v>3</v>
      </c>
      <c r="E564" s="513">
        <v>4</v>
      </c>
      <c r="F564" s="513">
        <v>5</v>
      </c>
      <c r="G564" s="513">
        <v>6</v>
      </c>
      <c r="H564" s="513">
        <v>7</v>
      </c>
      <c r="I564" s="513">
        <v>8</v>
      </c>
      <c r="J564" s="513">
        <v>9</v>
      </c>
      <c r="K564" s="513">
        <v>10</v>
      </c>
      <c r="L564" s="513">
        <v>11</v>
      </c>
      <c r="M564" s="513">
        <v>12</v>
      </c>
      <c r="N564" s="513">
        <v>13</v>
      </c>
      <c r="O564" s="513">
        <v>14</v>
      </c>
      <c r="P564" s="513">
        <v>15</v>
      </c>
      <c r="Q564" s="513">
        <v>16</v>
      </c>
      <c r="R564" s="513">
        <v>17</v>
      </c>
      <c r="S564" s="513">
        <v>18</v>
      </c>
      <c r="T564" s="513">
        <v>19</v>
      </c>
      <c r="U564" s="513">
        <v>20</v>
      </c>
      <c r="V564" s="513" t="s">
        <v>32</v>
      </c>
      <c r="W564" s="513" t="s">
        <v>1015</v>
      </c>
    </row>
    <row r="565" spans="1:24" customFormat="1" ht="15" x14ac:dyDescent="0.25">
      <c r="A565" s="101"/>
      <c r="B565" s="562" t="s">
        <v>1016</v>
      </c>
      <c r="C565" s="563">
        <v>30000</v>
      </c>
      <c r="D565" s="564">
        <f>C565+(C565*15%)</f>
        <v>34500</v>
      </c>
      <c r="E565" s="564">
        <f>D565+(D565*15%)</f>
        <v>39675</v>
      </c>
      <c r="F565" s="564">
        <f>E565+(E565*15%)</f>
        <v>45626.25</v>
      </c>
      <c r="G565" s="564">
        <f>F565+(F565*15%)</f>
        <v>52470.1875</v>
      </c>
      <c r="H565" s="564">
        <f t="shared" ref="H565:K565" si="10">G565+(G565*20%)</f>
        <v>62964.224999999999</v>
      </c>
      <c r="I565" s="564">
        <f t="shared" si="10"/>
        <v>75557.070000000007</v>
      </c>
      <c r="J565" s="564">
        <f t="shared" si="10"/>
        <v>90668.484000000011</v>
      </c>
      <c r="K565" s="564">
        <f t="shared" si="10"/>
        <v>108802.18080000002</v>
      </c>
      <c r="L565" s="563">
        <f>J565</f>
        <v>90668.484000000011</v>
      </c>
      <c r="M565" s="563">
        <f>L565-L565*(20%)</f>
        <v>72534.787200000006</v>
      </c>
      <c r="N565" s="563">
        <f t="shared" ref="N565:U565" si="11">M565-M565*(20%)</f>
        <v>58027.829760000008</v>
      </c>
      <c r="O565" s="563">
        <f t="shared" si="11"/>
        <v>46422.263808000003</v>
      </c>
      <c r="P565" s="563">
        <f t="shared" si="11"/>
        <v>37137.811046400006</v>
      </c>
      <c r="Q565" s="563">
        <f t="shared" si="11"/>
        <v>29710.248837120005</v>
      </c>
      <c r="R565" s="563">
        <f t="shared" si="11"/>
        <v>23768.199069696006</v>
      </c>
      <c r="S565" s="563">
        <f t="shared" si="11"/>
        <v>19014.559255756805</v>
      </c>
      <c r="T565" s="563">
        <f t="shared" si="11"/>
        <v>15211.647404605445</v>
      </c>
      <c r="U565" s="563">
        <f t="shared" si="11"/>
        <v>12169.317923684355</v>
      </c>
      <c r="V565" s="563">
        <f>SUM(C565:U565)</f>
        <v>944928.54560526263</v>
      </c>
    </row>
    <row r="566" spans="1:24" customFormat="1" ht="15" x14ac:dyDescent="0.25">
      <c r="A566" s="101"/>
      <c r="B566" s="565" t="s">
        <v>1017</v>
      </c>
      <c r="C566" s="566">
        <v>30000</v>
      </c>
      <c r="D566" s="567">
        <v>34500</v>
      </c>
      <c r="E566" s="567">
        <v>40000</v>
      </c>
      <c r="F566" s="567">
        <v>46000</v>
      </c>
      <c r="G566" s="567">
        <v>53000</v>
      </c>
      <c r="H566" s="567">
        <v>63000</v>
      </c>
      <c r="I566" s="567">
        <v>76000</v>
      </c>
      <c r="J566" s="567">
        <v>91000</v>
      </c>
      <c r="K566" s="567">
        <v>109000</v>
      </c>
      <c r="L566" s="566">
        <v>91000</v>
      </c>
      <c r="M566" s="566">
        <v>73000</v>
      </c>
      <c r="N566" s="566">
        <v>58500</v>
      </c>
      <c r="O566" s="566">
        <v>47000</v>
      </c>
      <c r="P566" s="566">
        <v>37500</v>
      </c>
      <c r="Q566" s="566">
        <v>29000</v>
      </c>
      <c r="R566" s="566">
        <v>24000</v>
      </c>
      <c r="S566" s="566">
        <v>19500</v>
      </c>
      <c r="T566" s="566">
        <v>15500</v>
      </c>
      <c r="U566" s="566">
        <v>12500</v>
      </c>
      <c r="V566" s="566">
        <f>SUM(C566:U566)</f>
        <v>950000</v>
      </c>
    </row>
    <row r="567" spans="1:24" customFormat="1" ht="15" x14ac:dyDescent="0.25">
      <c r="A567" s="101"/>
      <c r="B567" s="568" t="s">
        <v>1018</v>
      </c>
      <c r="C567" s="569">
        <f>C565/$V$565</f>
        <v>3.1748432343933326E-2</v>
      </c>
      <c r="D567" s="569">
        <f t="shared" ref="D567:U567" si="12">D565/$V$565</f>
        <v>3.6510697195523328E-2</v>
      </c>
      <c r="E567" s="569">
        <f t="shared" si="12"/>
        <v>4.1987301774851826E-2</v>
      </c>
      <c r="F567" s="569">
        <f t="shared" si="12"/>
        <v>4.8285397041079606E-2</v>
      </c>
      <c r="G567" s="569">
        <f t="shared" si="12"/>
        <v>5.5528206597241545E-2</v>
      </c>
      <c r="H567" s="569">
        <f t="shared" si="12"/>
        <v>6.6633847916689845E-2</v>
      </c>
      <c r="I567" s="569">
        <f t="shared" si="12"/>
        <v>7.9960617500027822E-2</v>
      </c>
      <c r="J567" s="569">
        <f t="shared" si="12"/>
        <v>9.5952741000033398E-2</v>
      </c>
      <c r="K567" s="569">
        <f t="shared" si="12"/>
        <v>0.11514328920004008</v>
      </c>
      <c r="L567" s="569">
        <f t="shared" si="12"/>
        <v>9.5952741000033398E-2</v>
      </c>
      <c r="M567" s="569">
        <f t="shared" si="12"/>
        <v>7.6762192800026718E-2</v>
      </c>
      <c r="N567" s="569">
        <f t="shared" si="12"/>
        <v>6.1409754240021375E-2</v>
      </c>
      <c r="O567" s="569">
        <f t="shared" si="12"/>
        <v>4.9127803392017097E-2</v>
      </c>
      <c r="P567" s="569">
        <f t="shared" si="12"/>
        <v>3.9302242713613683E-2</v>
      </c>
      <c r="Q567" s="569">
        <f t="shared" si="12"/>
        <v>3.1441794170890942E-2</v>
      </c>
      <c r="R567" s="569">
        <f t="shared" si="12"/>
        <v>2.5153435336712757E-2</v>
      </c>
      <c r="S567" s="569">
        <f t="shared" si="12"/>
        <v>2.0122748269370206E-2</v>
      </c>
      <c r="T567" s="569">
        <f t="shared" si="12"/>
        <v>1.6098198615496166E-2</v>
      </c>
      <c r="U567" s="569">
        <f t="shared" si="12"/>
        <v>1.2878558892396932E-2</v>
      </c>
      <c r="V567" s="569">
        <f>V565/$V$565</f>
        <v>1</v>
      </c>
    </row>
    <row r="568" spans="1:24" customFormat="1" ht="15" x14ac:dyDescent="0.25">
      <c r="A568" s="101"/>
      <c r="B568" s="568"/>
      <c r="C568" s="570">
        <f>C566/$V$566</f>
        <v>3.1578947368421054E-2</v>
      </c>
      <c r="D568" s="570">
        <f t="shared" ref="D568:U568" si="13">D566/$V$566</f>
        <v>3.6315789473684211E-2</v>
      </c>
      <c r="E568" s="570">
        <f t="shared" si="13"/>
        <v>4.2105263157894736E-2</v>
      </c>
      <c r="F568" s="570">
        <f t="shared" si="13"/>
        <v>4.8421052631578948E-2</v>
      </c>
      <c r="G568" s="570">
        <f t="shared" si="13"/>
        <v>5.5789473684210528E-2</v>
      </c>
      <c r="H568" s="570">
        <f t="shared" si="13"/>
        <v>6.6315789473684217E-2</v>
      </c>
      <c r="I568" s="570">
        <f t="shared" si="13"/>
        <v>0.08</v>
      </c>
      <c r="J568" s="570">
        <f t="shared" si="13"/>
        <v>9.5789473684210522E-2</v>
      </c>
      <c r="K568" s="570">
        <f t="shared" si="13"/>
        <v>0.11473684210526315</v>
      </c>
      <c r="L568" s="570">
        <f t="shared" si="13"/>
        <v>9.5789473684210522E-2</v>
      </c>
      <c r="M568" s="570">
        <f t="shared" si="13"/>
        <v>7.6842105263157892E-2</v>
      </c>
      <c r="N568" s="570">
        <f t="shared" si="13"/>
        <v>6.1578947368421053E-2</v>
      </c>
      <c r="O568" s="570">
        <f t="shared" si="13"/>
        <v>4.9473684210526316E-2</v>
      </c>
      <c r="P568" s="570">
        <f t="shared" si="13"/>
        <v>3.9473684210526314E-2</v>
      </c>
      <c r="Q568" s="570">
        <f t="shared" si="13"/>
        <v>3.0526315789473683E-2</v>
      </c>
      <c r="R568" s="570">
        <f t="shared" si="13"/>
        <v>2.5263157894736842E-2</v>
      </c>
      <c r="S568" s="570">
        <f t="shared" si="13"/>
        <v>2.0526315789473684E-2</v>
      </c>
      <c r="T568" s="570">
        <f t="shared" si="13"/>
        <v>1.6315789473684211E-2</v>
      </c>
      <c r="U568" s="570">
        <f t="shared" si="13"/>
        <v>1.3157894736842105E-2</v>
      </c>
      <c r="V568" s="569"/>
    </row>
    <row r="569" spans="1:24" s="102" customFormat="1" ht="19.5" customHeight="1" x14ac:dyDescent="0.2">
      <c r="A569" s="101"/>
      <c r="B569" s="48" t="s">
        <v>1019</v>
      </c>
      <c r="C569" s="531">
        <v>5</v>
      </c>
      <c r="D569" s="48"/>
      <c r="E569" s="48"/>
      <c r="F569" s="48"/>
      <c r="G569" s="48"/>
      <c r="H569" s="48"/>
      <c r="I569" s="48"/>
      <c r="J569" s="48"/>
      <c r="K569" s="48"/>
      <c r="L569" s="48"/>
      <c r="M569" s="48"/>
      <c r="N569" s="48"/>
      <c r="O569" s="48"/>
      <c r="P569" s="48"/>
      <c r="Q569" s="48"/>
      <c r="R569" s="48"/>
      <c r="S569" s="48"/>
      <c r="T569" s="48"/>
      <c r="U569" s="48"/>
      <c r="V569" s="48"/>
    </row>
    <row r="570" spans="1:24" customFormat="1" ht="15" x14ac:dyDescent="0.25">
      <c r="A570" s="101"/>
      <c r="B570" s="103" t="s">
        <v>1020</v>
      </c>
      <c r="C570" s="571">
        <f>C566*$C$569</f>
        <v>150000</v>
      </c>
      <c r="D570" s="571">
        <f t="shared" ref="D570:U570" si="14">D566*$C$569</f>
        <v>172500</v>
      </c>
      <c r="E570" s="571">
        <f t="shared" si="14"/>
        <v>200000</v>
      </c>
      <c r="F570" s="571">
        <f t="shared" si="14"/>
        <v>230000</v>
      </c>
      <c r="G570" s="571">
        <f t="shared" si="14"/>
        <v>265000</v>
      </c>
      <c r="H570" s="571">
        <f t="shared" si="14"/>
        <v>315000</v>
      </c>
      <c r="I570" s="571">
        <f t="shared" si="14"/>
        <v>380000</v>
      </c>
      <c r="J570" s="571">
        <f t="shared" si="14"/>
        <v>455000</v>
      </c>
      <c r="K570" s="571">
        <f t="shared" si="14"/>
        <v>545000</v>
      </c>
      <c r="L570" s="571">
        <f t="shared" si="14"/>
        <v>455000</v>
      </c>
      <c r="M570" s="571">
        <f t="shared" si="14"/>
        <v>365000</v>
      </c>
      <c r="N570" s="571">
        <f t="shared" si="14"/>
        <v>292500</v>
      </c>
      <c r="O570" s="571">
        <f t="shared" si="14"/>
        <v>235000</v>
      </c>
      <c r="P570" s="571">
        <f t="shared" si="14"/>
        <v>187500</v>
      </c>
      <c r="Q570" s="571">
        <f t="shared" si="14"/>
        <v>145000</v>
      </c>
      <c r="R570" s="571">
        <f t="shared" si="14"/>
        <v>120000</v>
      </c>
      <c r="S570" s="571">
        <f t="shared" si="14"/>
        <v>97500</v>
      </c>
      <c r="T570" s="571">
        <f t="shared" si="14"/>
        <v>77500</v>
      </c>
      <c r="U570" s="571">
        <f t="shared" si="14"/>
        <v>62500</v>
      </c>
      <c r="V570" s="571">
        <f>V566*$C$569</f>
        <v>4750000</v>
      </c>
    </row>
    <row r="571" spans="1:24" customFormat="1" ht="15" x14ac:dyDescent="0.25">
      <c r="A571" s="101"/>
      <c r="B571" s="551" t="s">
        <v>1021</v>
      </c>
      <c r="C571" s="571">
        <v>150000</v>
      </c>
      <c r="D571" s="552"/>
      <c r="E571" s="552"/>
      <c r="F571" s="571"/>
      <c r="G571" s="571"/>
      <c r="H571" s="571"/>
      <c r="I571" s="571"/>
      <c r="J571" s="571"/>
      <c r="K571" s="571"/>
      <c r="L571" s="571"/>
      <c r="M571" s="571"/>
      <c r="N571" s="571"/>
      <c r="O571" s="571"/>
      <c r="P571" s="571"/>
      <c r="Q571" s="571"/>
      <c r="R571" s="571"/>
      <c r="S571" s="571"/>
      <c r="T571" s="571"/>
      <c r="U571" s="571"/>
      <c r="V571" s="571"/>
    </row>
    <row r="572" spans="1:24" customFormat="1" ht="15" x14ac:dyDescent="0.25">
      <c r="A572" s="101"/>
      <c r="B572" s="551" t="s">
        <v>1022</v>
      </c>
      <c r="C572" s="571">
        <f>C570*$C$571</f>
        <v>22500000000</v>
      </c>
      <c r="D572" s="552">
        <f t="shared" ref="D572:V573" si="15">D570*$C$571</f>
        <v>25875000000</v>
      </c>
      <c r="E572" s="552">
        <f t="shared" si="15"/>
        <v>30000000000</v>
      </c>
      <c r="F572" s="571">
        <f t="shared" si="15"/>
        <v>34500000000</v>
      </c>
      <c r="G572" s="571">
        <f t="shared" si="15"/>
        <v>39750000000</v>
      </c>
      <c r="H572" s="571">
        <f t="shared" si="15"/>
        <v>47250000000</v>
      </c>
      <c r="I572" s="571">
        <f t="shared" si="15"/>
        <v>57000000000</v>
      </c>
      <c r="J572" s="571">
        <f t="shared" si="15"/>
        <v>68250000000</v>
      </c>
      <c r="K572" s="571">
        <f t="shared" si="15"/>
        <v>81750000000</v>
      </c>
      <c r="L572" s="571">
        <f t="shared" si="15"/>
        <v>68250000000</v>
      </c>
      <c r="M572" s="571">
        <f t="shared" si="15"/>
        <v>54750000000</v>
      </c>
      <c r="N572" s="571">
        <f t="shared" si="15"/>
        <v>43875000000</v>
      </c>
      <c r="O572" s="571">
        <f t="shared" si="15"/>
        <v>35250000000</v>
      </c>
      <c r="P572" s="571">
        <f t="shared" si="15"/>
        <v>28125000000</v>
      </c>
      <c r="Q572" s="571">
        <f t="shared" si="15"/>
        <v>21750000000</v>
      </c>
      <c r="R572" s="571">
        <f t="shared" si="15"/>
        <v>18000000000</v>
      </c>
      <c r="S572" s="571">
        <f t="shared" si="15"/>
        <v>14625000000</v>
      </c>
      <c r="T572" s="571">
        <f t="shared" si="15"/>
        <v>11625000000</v>
      </c>
      <c r="U572" s="571">
        <f t="shared" si="15"/>
        <v>9375000000</v>
      </c>
      <c r="V572" s="571">
        <f t="shared" si="15"/>
        <v>712500000000</v>
      </c>
      <c r="W572" s="101"/>
    </row>
    <row r="573" spans="1:24" customFormat="1" ht="15" x14ac:dyDescent="0.25">
      <c r="A573" s="101"/>
      <c r="B573" s="551" t="s">
        <v>1023</v>
      </c>
      <c r="C573" s="572">
        <v>0.2</v>
      </c>
      <c r="D573" s="573">
        <v>0.2</v>
      </c>
      <c r="E573" s="573">
        <v>0.2</v>
      </c>
      <c r="F573" s="572">
        <v>0.2</v>
      </c>
      <c r="G573" s="572">
        <v>0.2</v>
      </c>
      <c r="H573" s="572">
        <v>0.2</v>
      </c>
      <c r="I573" s="572">
        <v>0.2</v>
      </c>
      <c r="J573" s="572">
        <v>0.2</v>
      </c>
      <c r="K573" s="572">
        <v>0.2</v>
      </c>
      <c r="L573" s="572">
        <v>0.2</v>
      </c>
      <c r="M573" s="572"/>
      <c r="N573" s="572"/>
      <c r="O573" s="572"/>
      <c r="P573" s="572"/>
      <c r="Q573" s="572"/>
      <c r="R573" s="572"/>
      <c r="S573" s="572"/>
      <c r="T573" s="572"/>
      <c r="U573" s="572"/>
      <c r="V573" s="571">
        <f t="shared" si="15"/>
        <v>0</v>
      </c>
    </row>
    <row r="574" spans="1:24" customFormat="1" ht="15" x14ac:dyDescent="0.25">
      <c r="A574" s="101"/>
      <c r="B574" s="551" t="s">
        <v>1024</v>
      </c>
      <c r="C574" s="572"/>
      <c r="D574" s="573"/>
      <c r="E574" s="573"/>
      <c r="F574" s="572"/>
      <c r="G574" s="572"/>
      <c r="H574" s="572"/>
      <c r="I574" s="572"/>
      <c r="J574" s="572"/>
      <c r="K574" s="572"/>
      <c r="L574" s="572"/>
      <c r="M574" s="574">
        <v>7.4999999999999997E-2</v>
      </c>
      <c r="N574" s="574">
        <v>7.4999999999999997E-2</v>
      </c>
      <c r="O574" s="574">
        <v>7.4999999999999997E-2</v>
      </c>
      <c r="P574" s="574">
        <v>7.4999999999999997E-2</v>
      </c>
      <c r="Q574" s="574">
        <v>7.4999999999999997E-2</v>
      </c>
      <c r="R574" s="574">
        <v>7.4999999999999997E-2</v>
      </c>
      <c r="S574" s="574">
        <v>7.4999999999999997E-2</v>
      </c>
      <c r="T574" s="574">
        <v>7.4999999999999997E-2</v>
      </c>
      <c r="U574" s="574">
        <v>7.4999999999999997E-2</v>
      </c>
      <c r="V574" s="571"/>
    </row>
    <row r="575" spans="1:24" ht="27.6" customHeight="1" x14ac:dyDescent="0.25">
      <c r="B575" s="381" t="s">
        <v>1249</v>
      </c>
      <c r="C575" s="575">
        <f>C572*C573</f>
        <v>4500000000</v>
      </c>
      <c r="D575" s="405">
        <f t="shared" ref="D575:L575" si="16">D572*D573</f>
        <v>5175000000</v>
      </c>
      <c r="E575" s="405">
        <f t="shared" si="16"/>
        <v>6000000000</v>
      </c>
      <c r="F575" s="405">
        <f t="shared" si="16"/>
        <v>6900000000</v>
      </c>
      <c r="G575" s="405">
        <f t="shared" si="16"/>
        <v>7950000000</v>
      </c>
      <c r="H575" s="405">
        <f t="shared" si="16"/>
        <v>9450000000</v>
      </c>
      <c r="I575" s="405">
        <f t="shared" si="16"/>
        <v>11400000000</v>
      </c>
      <c r="J575" s="405">
        <f t="shared" si="16"/>
        <v>13650000000</v>
      </c>
      <c r="K575" s="405">
        <f t="shared" si="16"/>
        <v>16350000000</v>
      </c>
      <c r="L575" s="405">
        <f t="shared" si="16"/>
        <v>13650000000</v>
      </c>
      <c r="V575" s="405">
        <f>SUM(C575:U575)</f>
        <v>95025000000</v>
      </c>
      <c r="W575" s="571">
        <f>SUM(C572:L572)</f>
        <v>475125000000</v>
      </c>
      <c r="X575" s="115"/>
    </row>
    <row r="576" spans="1:24" ht="23.1" customHeight="1" x14ac:dyDescent="0.25">
      <c r="B576" s="320" t="s">
        <v>1250</v>
      </c>
      <c r="C576" s="102"/>
      <c r="D576" s="102"/>
      <c r="E576" s="102"/>
      <c r="F576" s="102"/>
      <c r="G576" s="102"/>
      <c r="H576" s="102"/>
      <c r="I576" s="102"/>
      <c r="J576" s="102"/>
      <c r="K576" s="102"/>
      <c r="L576" s="102"/>
      <c r="M576" s="380">
        <f t="shared" ref="M576:U576" si="17">M572*M574</f>
        <v>4106250000</v>
      </c>
      <c r="N576" s="380">
        <f t="shared" si="17"/>
        <v>3290625000</v>
      </c>
      <c r="O576" s="380">
        <f t="shared" si="17"/>
        <v>2643750000</v>
      </c>
      <c r="P576" s="380">
        <f t="shared" si="17"/>
        <v>2109375000</v>
      </c>
      <c r="Q576" s="380">
        <f t="shared" si="17"/>
        <v>1631250000</v>
      </c>
      <c r="R576" s="380">
        <f t="shared" si="17"/>
        <v>1350000000</v>
      </c>
      <c r="S576" s="380">
        <f t="shared" si="17"/>
        <v>1096875000</v>
      </c>
      <c r="T576" s="380">
        <f t="shared" si="17"/>
        <v>871875000</v>
      </c>
      <c r="U576" s="380">
        <f t="shared" si="17"/>
        <v>703125000</v>
      </c>
      <c r="V576" s="380">
        <f>SUM(C576:U576)</f>
        <v>17803125000</v>
      </c>
      <c r="W576" s="571">
        <f>SUM(M572:U572)</f>
        <v>237375000000</v>
      </c>
    </row>
    <row r="577" spans="1:23" s="102" customFormat="1" ht="19.5" customHeight="1" x14ac:dyDescent="0.2">
      <c r="F577" s="101"/>
      <c r="G577" s="101"/>
      <c r="H577" s="101"/>
      <c r="I577" s="101"/>
      <c r="J577" s="101"/>
      <c r="K577" s="101"/>
      <c r="L577" s="101"/>
    </row>
    <row r="578" spans="1:23" s="102" customFormat="1" ht="19.5" customHeight="1" x14ac:dyDescent="0.25">
      <c r="B578" s="381" t="s">
        <v>1332</v>
      </c>
    </row>
    <row r="579" spans="1:23" ht="14.45" customHeight="1" x14ac:dyDescent="0.25">
      <c r="B579" s="403" t="s">
        <v>598</v>
      </c>
      <c r="C579" s="402">
        <v>2</v>
      </c>
      <c r="D579" s="402">
        <v>3</v>
      </c>
      <c r="E579" s="402">
        <v>4</v>
      </c>
      <c r="F579" s="402">
        <v>5</v>
      </c>
      <c r="G579" s="402">
        <v>6</v>
      </c>
      <c r="H579" s="402">
        <v>7</v>
      </c>
      <c r="I579" s="402">
        <v>8</v>
      </c>
      <c r="J579" s="402">
        <v>9</v>
      </c>
      <c r="K579" s="402">
        <v>10</v>
      </c>
      <c r="L579" s="402">
        <v>11</v>
      </c>
      <c r="M579" s="402">
        <v>12</v>
      </c>
      <c r="N579" s="402">
        <v>13</v>
      </c>
      <c r="O579" s="402">
        <v>14</v>
      </c>
      <c r="P579" s="402">
        <v>15</v>
      </c>
      <c r="Q579" s="402">
        <v>16</v>
      </c>
      <c r="R579" s="402">
        <v>17</v>
      </c>
      <c r="S579" s="402">
        <v>18</v>
      </c>
      <c r="T579" s="402">
        <v>19</v>
      </c>
      <c r="U579" s="402">
        <v>20</v>
      </c>
      <c r="V579" s="402" t="s">
        <v>32</v>
      </c>
    </row>
    <row r="580" spans="1:23" customFormat="1" ht="15" x14ac:dyDescent="0.25">
      <c r="A580" s="101"/>
      <c r="B580" s="551" t="s">
        <v>1025</v>
      </c>
      <c r="C580" s="571">
        <f t="shared" ref="C580:V580" si="18">C566</f>
        <v>30000</v>
      </c>
      <c r="D580" s="571">
        <f t="shared" si="18"/>
        <v>34500</v>
      </c>
      <c r="E580" s="571">
        <f t="shared" si="18"/>
        <v>40000</v>
      </c>
      <c r="F580" s="571">
        <f t="shared" si="18"/>
        <v>46000</v>
      </c>
      <c r="G580" s="571">
        <f t="shared" si="18"/>
        <v>53000</v>
      </c>
      <c r="H580" s="571">
        <f t="shared" si="18"/>
        <v>63000</v>
      </c>
      <c r="I580" s="571">
        <f t="shared" si="18"/>
        <v>76000</v>
      </c>
      <c r="J580" s="571">
        <f t="shared" si="18"/>
        <v>91000</v>
      </c>
      <c r="K580" s="571">
        <f t="shared" si="18"/>
        <v>109000</v>
      </c>
      <c r="L580" s="571">
        <f t="shared" si="18"/>
        <v>91000</v>
      </c>
      <c r="M580" s="571">
        <f t="shared" si="18"/>
        <v>73000</v>
      </c>
      <c r="N580" s="571">
        <f t="shared" si="18"/>
        <v>58500</v>
      </c>
      <c r="O580" s="571">
        <f t="shared" si="18"/>
        <v>47000</v>
      </c>
      <c r="P580" s="571">
        <f t="shared" si="18"/>
        <v>37500</v>
      </c>
      <c r="Q580" s="571">
        <f t="shared" si="18"/>
        <v>29000</v>
      </c>
      <c r="R580" s="571">
        <f t="shared" si="18"/>
        <v>24000</v>
      </c>
      <c r="S580" s="571">
        <f t="shared" si="18"/>
        <v>19500</v>
      </c>
      <c r="T580" s="571">
        <f t="shared" si="18"/>
        <v>15500</v>
      </c>
      <c r="U580" s="571">
        <f t="shared" si="18"/>
        <v>12500</v>
      </c>
      <c r="V580" s="571">
        <f t="shared" si="18"/>
        <v>950000</v>
      </c>
    </row>
    <row r="581" spans="1:23" customFormat="1" ht="15" x14ac:dyDescent="0.25">
      <c r="A581" s="101"/>
      <c r="B581" s="551" t="s">
        <v>1026</v>
      </c>
      <c r="C581" s="572">
        <v>0.1</v>
      </c>
      <c r="D581" s="576">
        <v>0.1</v>
      </c>
      <c r="E581" s="572">
        <v>0.1</v>
      </c>
      <c r="F581" s="576">
        <v>0.2</v>
      </c>
      <c r="G581" s="576">
        <v>0.2</v>
      </c>
      <c r="H581" s="572">
        <v>0.3</v>
      </c>
      <c r="I581" s="572">
        <v>0.3</v>
      </c>
      <c r="J581" s="572">
        <v>0.3</v>
      </c>
      <c r="K581" s="572">
        <v>0.3</v>
      </c>
      <c r="L581" s="572">
        <v>0.3</v>
      </c>
      <c r="M581" s="572">
        <v>0.3</v>
      </c>
      <c r="N581" s="572">
        <v>0.3</v>
      </c>
      <c r="O581" s="572">
        <v>0.3</v>
      </c>
      <c r="P581" s="572">
        <v>0.3</v>
      </c>
      <c r="Q581" s="572">
        <v>0.3</v>
      </c>
      <c r="R581" s="572">
        <v>0.4</v>
      </c>
      <c r="S581" s="572">
        <v>0.4</v>
      </c>
      <c r="T581" s="572">
        <v>0.4</v>
      </c>
      <c r="U581" s="572">
        <v>0.4</v>
      </c>
      <c r="V581" s="571"/>
    </row>
    <row r="582" spans="1:23" ht="14.45" customHeight="1" x14ac:dyDescent="0.25">
      <c r="B582" s="403" t="s">
        <v>1027</v>
      </c>
      <c r="C582" s="577">
        <f>C580*C581</f>
        <v>3000</v>
      </c>
      <c r="D582" s="577">
        <f t="shared" ref="D582:U582" si="19">D580*D581</f>
        <v>3450</v>
      </c>
      <c r="E582" s="577">
        <f t="shared" si="19"/>
        <v>4000</v>
      </c>
      <c r="F582" s="577">
        <f t="shared" si="19"/>
        <v>9200</v>
      </c>
      <c r="G582" s="577">
        <f t="shared" si="19"/>
        <v>10600</v>
      </c>
      <c r="H582" s="577">
        <f t="shared" si="19"/>
        <v>18900</v>
      </c>
      <c r="I582" s="577">
        <f t="shared" si="19"/>
        <v>22800</v>
      </c>
      <c r="J582" s="577">
        <f t="shared" si="19"/>
        <v>27300</v>
      </c>
      <c r="K582" s="577">
        <f t="shared" si="19"/>
        <v>32700</v>
      </c>
      <c r="L582" s="577">
        <f t="shared" si="19"/>
        <v>27300</v>
      </c>
      <c r="M582" s="577">
        <f t="shared" si="19"/>
        <v>21900</v>
      </c>
      <c r="N582" s="577">
        <f t="shared" si="19"/>
        <v>17550</v>
      </c>
      <c r="O582" s="577">
        <f t="shared" si="19"/>
        <v>14100</v>
      </c>
      <c r="P582" s="577">
        <f t="shared" si="19"/>
        <v>11250</v>
      </c>
      <c r="Q582" s="577">
        <f t="shared" si="19"/>
        <v>8700</v>
      </c>
      <c r="R582" s="577">
        <f t="shared" si="19"/>
        <v>9600</v>
      </c>
      <c r="S582" s="577">
        <f t="shared" si="19"/>
        <v>7800</v>
      </c>
      <c r="T582" s="577">
        <f t="shared" si="19"/>
        <v>6200</v>
      </c>
      <c r="U582" s="577">
        <f t="shared" si="19"/>
        <v>5000</v>
      </c>
      <c r="V582" s="577">
        <f t="shared" ref="V582" si="20">SUM(C582:U582)</f>
        <v>261350</v>
      </c>
    </row>
    <row r="583" spans="1:23" ht="23.1" customHeight="1" x14ac:dyDescent="0.25">
      <c r="B583" s="382" t="s">
        <v>1028</v>
      </c>
      <c r="C583" s="578">
        <f>C580-C582</f>
        <v>27000</v>
      </c>
      <c r="D583" s="578">
        <f t="shared" ref="D583:V586" si="21">D580-D582</f>
        <v>31050</v>
      </c>
      <c r="E583" s="578">
        <f t="shared" si="21"/>
        <v>36000</v>
      </c>
      <c r="F583" s="578">
        <f t="shared" si="21"/>
        <v>36800</v>
      </c>
      <c r="G583" s="578">
        <f t="shared" si="21"/>
        <v>42400</v>
      </c>
      <c r="H583" s="578">
        <f t="shared" si="21"/>
        <v>44100</v>
      </c>
      <c r="I583" s="578">
        <f t="shared" si="21"/>
        <v>53200</v>
      </c>
      <c r="J583" s="578">
        <f t="shared" si="21"/>
        <v>63700</v>
      </c>
      <c r="K583" s="578">
        <f t="shared" si="21"/>
        <v>76300</v>
      </c>
      <c r="L583" s="578">
        <f t="shared" si="21"/>
        <v>63700</v>
      </c>
      <c r="M583" s="578">
        <f t="shared" si="21"/>
        <v>51100</v>
      </c>
      <c r="N583" s="578">
        <f t="shared" si="21"/>
        <v>40950</v>
      </c>
      <c r="O583" s="578">
        <f t="shared" si="21"/>
        <v>32900</v>
      </c>
      <c r="P583" s="578">
        <f t="shared" si="21"/>
        <v>26250</v>
      </c>
      <c r="Q583" s="578">
        <f t="shared" si="21"/>
        <v>20300</v>
      </c>
      <c r="R583" s="578">
        <f t="shared" si="21"/>
        <v>14400</v>
      </c>
      <c r="S583" s="578">
        <f t="shared" si="21"/>
        <v>11700</v>
      </c>
      <c r="T583" s="578">
        <f t="shared" si="21"/>
        <v>9300</v>
      </c>
      <c r="U583" s="578">
        <f t="shared" si="21"/>
        <v>7500</v>
      </c>
      <c r="V583" s="578">
        <f t="shared" si="21"/>
        <v>688650</v>
      </c>
    </row>
    <row r="584" spans="1:23" customFormat="1" ht="15" x14ac:dyDescent="0.25">
      <c r="A584" s="101"/>
      <c r="B584" s="551" t="s">
        <v>1029</v>
      </c>
      <c r="C584" s="571">
        <v>400</v>
      </c>
      <c r="D584" s="579"/>
      <c r="E584" s="552"/>
      <c r="F584" s="571"/>
      <c r="G584" s="571"/>
      <c r="H584" s="571"/>
      <c r="I584" s="571"/>
      <c r="J584" s="571"/>
      <c r="K584" s="571"/>
      <c r="L584" s="571"/>
      <c r="M584" s="571"/>
      <c r="N584" s="571"/>
      <c r="O584" s="571"/>
      <c r="P584" s="571"/>
      <c r="Q584" s="571"/>
      <c r="R584" s="571"/>
      <c r="S584" s="571"/>
      <c r="T584" s="571"/>
      <c r="U584" s="571"/>
      <c r="V584" s="580"/>
    </row>
    <row r="585" spans="1:23" ht="14.45" customHeight="1" x14ac:dyDescent="0.25">
      <c r="B585" s="403" t="s">
        <v>1030</v>
      </c>
      <c r="C585" s="577">
        <f>C582/$C$584</f>
        <v>7.5</v>
      </c>
      <c r="D585" s="577">
        <f t="shared" ref="D585:U586" si="22">D582/$C$584</f>
        <v>8.625</v>
      </c>
      <c r="E585" s="577">
        <f t="shared" si="22"/>
        <v>10</v>
      </c>
      <c r="F585" s="577">
        <f t="shared" si="22"/>
        <v>23</v>
      </c>
      <c r="G585" s="577">
        <f t="shared" si="22"/>
        <v>26.5</v>
      </c>
      <c r="H585" s="577">
        <f t="shared" si="22"/>
        <v>47.25</v>
      </c>
      <c r="I585" s="577">
        <f t="shared" si="22"/>
        <v>57</v>
      </c>
      <c r="J585" s="577">
        <f t="shared" si="22"/>
        <v>68.25</v>
      </c>
      <c r="K585" s="577">
        <f t="shared" si="22"/>
        <v>81.75</v>
      </c>
      <c r="L585" s="577">
        <f t="shared" si="22"/>
        <v>68.25</v>
      </c>
      <c r="M585" s="577">
        <f t="shared" si="22"/>
        <v>54.75</v>
      </c>
      <c r="N585" s="577">
        <f t="shared" si="22"/>
        <v>43.875</v>
      </c>
      <c r="O585" s="577">
        <f t="shared" si="22"/>
        <v>35.25</v>
      </c>
      <c r="P585" s="577">
        <f t="shared" si="22"/>
        <v>28.125</v>
      </c>
      <c r="Q585" s="577">
        <f t="shared" si="22"/>
        <v>21.75</v>
      </c>
      <c r="R585" s="577">
        <f t="shared" si="22"/>
        <v>24</v>
      </c>
      <c r="S585" s="577">
        <f>S582/$C$584</f>
        <v>19.5</v>
      </c>
      <c r="T585" s="577">
        <f t="shared" si="22"/>
        <v>15.5</v>
      </c>
      <c r="U585" s="577">
        <f t="shared" si="22"/>
        <v>12.5</v>
      </c>
      <c r="V585" s="577">
        <f t="shared" si="21"/>
        <v>261350</v>
      </c>
    </row>
    <row r="586" spans="1:23" ht="23.1" customHeight="1" x14ac:dyDescent="0.25">
      <c r="B586" s="382" t="s">
        <v>1031</v>
      </c>
      <c r="C586" s="578">
        <f>C583/$C$584</f>
        <v>67.5</v>
      </c>
      <c r="D586" s="578">
        <f t="shared" si="22"/>
        <v>77.625</v>
      </c>
      <c r="E586" s="578">
        <f t="shared" si="22"/>
        <v>90</v>
      </c>
      <c r="F586" s="578">
        <f t="shared" si="22"/>
        <v>92</v>
      </c>
      <c r="G586" s="578">
        <f t="shared" si="22"/>
        <v>106</v>
      </c>
      <c r="H586" s="578">
        <f t="shared" si="22"/>
        <v>110.25</v>
      </c>
      <c r="I586" s="578">
        <f t="shared" si="22"/>
        <v>133</v>
      </c>
      <c r="J586" s="578">
        <f t="shared" si="22"/>
        <v>159.25</v>
      </c>
      <c r="K586" s="578">
        <f t="shared" si="22"/>
        <v>190.75</v>
      </c>
      <c r="L586" s="578">
        <f t="shared" si="22"/>
        <v>159.25</v>
      </c>
      <c r="M586" s="578">
        <f t="shared" si="22"/>
        <v>127.75</v>
      </c>
      <c r="N586" s="578">
        <f t="shared" si="22"/>
        <v>102.375</v>
      </c>
      <c r="O586" s="578">
        <f t="shared" si="22"/>
        <v>82.25</v>
      </c>
      <c r="P586" s="578">
        <f t="shared" si="22"/>
        <v>65.625</v>
      </c>
      <c r="Q586" s="578">
        <f t="shared" si="22"/>
        <v>50.75</v>
      </c>
      <c r="R586" s="578">
        <f t="shared" si="22"/>
        <v>36</v>
      </c>
      <c r="S586" s="578">
        <f t="shared" si="22"/>
        <v>29.25</v>
      </c>
      <c r="T586" s="578">
        <f t="shared" si="22"/>
        <v>23.25</v>
      </c>
      <c r="U586" s="578">
        <f t="shared" si="22"/>
        <v>18.75</v>
      </c>
      <c r="V586" s="578">
        <f t="shared" si="21"/>
        <v>427300</v>
      </c>
    </row>
    <row r="587" spans="1:23" customFormat="1" ht="15" x14ac:dyDescent="0.25">
      <c r="A587" s="101"/>
      <c r="B587" s="581" t="s">
        <v>1032</v>
      </c>
      <c r="C587" s="571">
        <f>C605</f>
        <v>2570750000</v>
      </c>
      <c r="D587" s="582"/>
      <c r="E587" s="582"/>
      <c r="F587" s="582"/>
      <c r="G587" s="582"/>
      <c r="H587" s="582"/>
      <c r="I587" s="582"/>
      <c r="J587" s="582"/>
      <c r="K587" s="582"/>
      <c r="L587" s="582"/>
      <c r="M587" s="582"/>
      <c r="N587" s="582"/>
      <c r="O587" s="582"/>
      <c r="P587" s="582"/>
      <c r="Q587" s="582"/>
      <c r="R587" s="582"/>
      <c r="S587" s="582"/>
      <c r="T587" s="582"/>
      <c r="U587" s="582"/>
      <c r="V587" s="101"/>
    </row>
    <row r="588" spans="1:23" customFormat="1" ht="15" x14ac:dyDescent="0.25">
      <c r="A588" s="101"/>
      <c r="B588" s="551" t="s">
        <v>1033</v>
      </c>
      <c r="C588" s="572">
        <v>0.3</v>
      </c>
      <c r="D588" s="572">
        <v>0.3</v>
      </c>
      <c r="E588" s="572">
        <v>0.3</v>
      </c>
      <c r="F588" s="572">
        <v>0.3</v>
      </c>
      <c r="G588" s="572">
        <v>0.3</v>
      </c>
      <c r="H588" s="572">
        <v>0.3</v>
      </c>
      <c r="I588" s="572">
        <v>0.3</v>
      </c>
      <c r="J588" s="572">
        <v>0.3</v>
      </c>
      <c r="K588" s="572">
        <v>0.3</v>
      </c>
      <c r="L588" s="572">
        <v>0.3</v>
      </c>
      <c r="M588" s="572"/>
      <c r="N588" s="572"/>
      <c r="O588" s="572"/>
      <c r="P588" s="572"/>
      <c r="Q588" s="572"/>
      <c r="R588" s="572"/>
      <c r="S588" s="572"/>
      <c r="T588" s="572"/>
      <c r="U588" s="572"/>
      <c r="V588" s="101"/>
    </row>
    <row r="589" spans="1:23" customFormat="1" ht="15" x14ac:dyDescent="0.25">
      <c r="A589" s="101"/>
      <c r="B589" s="551" t="s">
        <v>1034</v>
      </c>
      <c r="C589" s="572">
        <v>0.2</v>
      </c>
      <c r="D589" s="572">
        <v>0.2</v>
      </c>
      <c r="E589" s="572">
        <v>0.2</v>
      </c>
      <c r="F589" s="572">
        <v>0.2</v>
      </c>
      <c r="G589" s="572">
        <v>0.2</v>
      </c>
      <c r="H589" s="572">
        <v>0.2</v>
      </c>
      <c r="I589" s="572">
        <v>0.2</v>
      </c>
      <c r="J589" s="572">
        <v>0.2</v>
      </c>
      <c r="K589" s="572">
        <v>0.2</v>
      </c>
      <c r="L589" s="572">
        <v>0.2</v>
      </c>
      <c r="M589" s="572"/>
      <c r="N589" s="572"/>
      <c r="O589" s="572"/>
      <c r="P589" s="572"/>
      <c r="Q589" s="572"/>
      <c r="R589" s="572"/>
      <c r="S589" s="572"/>
      <c r="T589" s="572"/>
      <c r="U589" s="572"/>
      <c r="V589" s="101"/>
    </row>
    <row r="590" spans="1:23" customFormat="1" ht="15" x14ac:dyDescent="0.25">
      <c r="A590" s="101"/>
      <c r="B590" s="551" t="s">
        <v>1035</v>
      </c>
      <c r="C590" s="571">
        <f>C585*$C$587</f>
        <v>19280625000</v>
      </c>
      <c r="D590" s="571">
        <f>D585*$C$587</f>
        <v>22172718750</v>
      </c>
      <c r="E590" s="571">
        <f t="shared" ref="E590:L590" si="23">E585*$C$587</f>
        <v>25707500000</v>
      </c>
      <c r="F590" s="571">
        <f t="shared" si="23"/>
        <v>59127250000</v>
      </c>
      <c r="G590" s="571">
        <f t="shared" si="23"/>
        <v>68124875000</v>
      </c>
      <c r="H590" s="571">
        <f t="shared" si="23"/>
        <v>121467937500</v>
      </c>
      <c r="I590" s="571">
        <f t="shared" si="23"/>
        <v>146532750000</v>
      </c>
      <c r="J590" s="571">
        <f t="shared" si="23"/>
        <v>175453687500</v>
      </c>
      <c r="K590" s="571">
        <f t="shared" si="23"/>
        <v>210158812500</v>
      </c>
      <c r="L590" s="571">
        <f t="shared" si="23"/>
        <v>175453687500</v>
      </c>
      <c r="M590" s="583"/>
      <c r="N590" s="583"/>
      <c r="O590" s="583"/>
      <c r="P590" s="583"/>
      <c r="Q590" s="583"/>
      <c r="R590" s="583"/>
      <c r="S590" s="583"/>
      <c r="T590" s="583"/>
      <c r="U590" s="583"/>
      <c r="V590" s="575">
        <f>SUM(C590:U590)</f>
        <v>1023479843750</v>
      </c>
    </row>
    <row r="591" spans="1:23" ht="15" x14ac:dyDescent="0.25">
      <c r="B591" s="381" t="s">
        <v>588</v>
      </c>
      <c r="C591" s="575">
        <f>C585*$C$587*C588</f>
        <v>5784187500</v>
      </c>
      <c r="D591" s="575">
        <f t="shared" ref="D591:L592" si="24">D585*$C$587*D588</f>
        <v>6651815625</v>
      </c>
      <c r="E591" s="575">
        <f t="shared" si="24"/>
        <v>7712250000</v>
      </c>
      <c r="F591" s="575">
        <f t="shared" si="24"/>
        <v>17738175000</v>
      </c>
      <c r="G591" s="575">
        <f t="shared" si="24"/>
        <v>20437462500</v>
      </c>
      <c r="H591" s="575">
        <f t="shared" si="24"/>
        <v>36440381250</v>
      </c>
      <c r="I591" s="575">
        <f t="shared" si="24"/>
        <v>43959825000</v>
      </c>
      <c r="J591" s="575">
        <f t="shared" si="24"/>
        <v>52636106250</v>
      </c>
      <c r="K591" s="575">
        <f t="shared" si="24"/>
        <v>63047643750</v>
      </c>
      <c r="L591" s="575">
        <f t="shared" si="24"/>
        <v>52636106250</v>
      </c>
      <c r="M591" s="575"/>
      <c r="N591" s="575"/>
      <c r="O591" s="575"/>
      <c r="P591" s="575"/>
      <c r="Q591" s="575"/>
      <c r="R591" s="575"/>
      <c r="S591" s="575"/>
      <c r="T591" s="575"/>
      <c r="U591" s="575"/>
      <c r="V591" s="575">
        <f>SUM(C591:L591)</f>
        <v>307043953125</v>
      </c>
      <c r="W591" s="115">
        <f>(V591/0.4)*60%</f>
        <v>460565929687.5</v>
      </c>
    </row>
    <row r="592" spans="1:23" ht="23.1" customHeight="1" x14ac:dyDescent="0.25">
      <c r="B592" s="382" t="s">
        <v>589</v>
      </c>
      <c r="C592" s="578">
        <f>C586*$C$587*C589</f>
        <v>34705125000</v>
      </c>
      <c r="D592" s="578">
        <f t="shared" si="24"/>
        <v>39910893750</v>
      </c>
      <c r="E592" s="578">
        <f t="shared" si="24"/>
        <v>46273500000</v>
      </c>
      <c r="F592" s="578">
        <f t="shared" si="24"/>
        <v>47301800000</v>
      </c>
      <c r="G592" s="578">
        <f t="shared" si="24"/>
        <v>54499900000</v>
      </c>
      <c r="H592" s="578">
        <f t="shared" si="24"/>
        <v>56685037500</v>
      </c>
      <c r="I592" s="578">
        <f t="shared" si="24"/>
        <v>68381950000</v>
      </c>
      <c r="J592" s="578">
        <f t="shared" si="24"/>
        <v>81878387500</v>
      </c>
      <c r="K592" s="578">
        <f t="shared" si="24"/>
        <v>98074112500</v>
      </c>
      <c r="L592" s="578">
        <f t="shared" si="24"/>
        <v>81878387500</v>
      </c>
      <c r="M592" s="578"/>
      <c r="N592" s="578"/>
      <c r="O592" s="578"/>
      <c r="P592" s="578"/>
      <c r="Q592" s="578"/>
      <c r="R592" s="578"/>
      <c r="S592" s="578"/>
      <c r="T592" s="578"/>
      <c r="U592" s="578"/>
      <c r="V592" s="578">
        <f>SUM(C592:L592)</f>
        <v>609589093750</v>
      </c>
      <c r="W592" s="115"/>
    </row>
    <row r="593" spans="2:22" ht="23.1" customHeight="1" x14ac:dyDescent="0.25">
      <c r="B593" s="320" t="s">
        <v>590</v>
      </c>
      <c r="C593" s="395">
        <v>7.4999999999999997E-2</v>
      </c>
      <c r="D593" s="102"/>
      <c r="E593" s="102"/>
      <c r="F593" s="102"/>
      <c r="G593" s="102"/>
      <c r="H593" s="102"/>
      <c r="I593" s="102"/>
      <c r="J593" s="102"/>
      <c r="K593" s="102"/>
      <c r="L593" s="102"/>
      <c r="M593" s="380">
        <f>M585*$C$587*$C$593</f>
        <v>10556142187.5</v>
      </c>
      <c r="N593" s="380">
        <f t="shared" ref="N593:U593" si="25">N585*$C$587*$C$593</f>
        <v>8459374218.75</v>
      </c>
      <c r="O593" s="380">
        <f t="shared" si="25"/>
        <v>6796420312.5</v>
      </c>
      <c r="P593" s="380">
        <f t="shared" si="25"/>
        <v>5422675781.25</v>
      </c>
      <c r="Q593" s="380">
        <f t="shared" si="25"/>
        <v>4193535937.5</v>
      </c>
      <c r="R593" s="380">
        <f t="shared" si="25"/>
        <v>4627350000</v>
      </c>
      <c r="S593" s="380">
        <f t="shared" si="25"/>
        <v>3759721875</v>
      </c>
      <c r="T593" s="380">
        <f t="shared" si="25"/>
        <v>2988496875</v>
      </c>
      <c r="U593" s="380">
        <f t="shared" si="25"/>
        <v>2410078125</v>
      </c>
      <c r="V593" s="380">
        <f>SUM(M593:U593)</f>
        <v>49213795312.5</v>
      </c>
    </row>
    <row r="594" spans="2:22" ht="23.1" customHeight="1" x14ac:dyDescent="0.25">
      <c r="B594" s="383" t="s">
        <v>591</v>
      </c>
      <c r="C594" s="395">
        <v>7.4999999999999997E-2</v>
      </c>
      <c r="D594" s="102"/>
      <c r="E594" s="102"/>
      <c r="F594" s="102"/>
      <c r="G594" s="102"/>
      <c r="H594" s="102"/>
      <c r="I594" s="102"/>
      <c r="J594" s="102"/>
      <c r="K594" s="102"/>
      <c r="L594" s="102"/>
      <c r="M594" s="386">
        <f>M586*$C$587*$C$594</f>
        <v>24630998437.5</v>
      </c>
      <c r="N594" s="386">
        <f t="shared" ref="N594:U594" si="26">N586*$C$587*$C$594</f>
        <v>19738539843.75</v>
      </c>
      <c r="O594" s="386">
        <f t="shared" si="26"/>
        <v>15858314062.5</v>
      </c>
      <c r="P594" s="386">
        <f t="shared" si="26"/>
        <v>12652910156.25</v>
      </c>
      <c r="Q594" s="386">
        <f t="shared" si="26"/>
        <v>9784917187.5</v>
      </c>
      <c r="R594" s="386">
        <f t="shared" si="26"/>
        <v>6941025000</v>
      </c>
      <c r="S594" s="386">
        <f t="shared" si="26"/>
        <v>5639582812.5</v>
      </c>
      <c r="T594" s="386">
        <f t="shared" si="26"/>
        <v>4482745312.5</v>
      </c>
      <c r="U594" s="386">
        <f t="shared" si="26"/>
        <v>3615117187.5</v>
      </c>
      <c r="V594" s="386">
        <f>SUM(M594:U594)</f>
        <v>103344150000</v>
      </c>
    </row>
    <row r="595" spans="2:22" s="102" customFormat="1" x14ac:dyDescent="0.2">
      <c r="B595" s="584"/>
    </row>
    <row r="596" spans="2:22" ht="15" x14ac:dyDescent="0.25">
      <c r="B596" s="381" t="s">
        <v>1333</v>
      </c>
      <c r="C596" s="381" t="s">
        <v>54</v>
      </c>
      <c r="D596"/>
      <c r="E596"/>
      <c r="F596"/>
      <c r="G596"/>
      <c r="H596"/>
      <c r="I596"/>
      <c r="J596" s="538"/>
    </row>
    <row r="597" spans="2:22" ht="15" x14ac:dyDescent="0.25">
      <c r="B597" s="103" t="s">
        <v>1036</v>
      </c>
      <c r="C597" s="531">
        <v>420000000</v>
      </c>
      <c r="D597"/>
      <c r="E597"/>
      <c r="F597"/>
      <c r="G597"/>
      <c r="H597"/>
      <c r="I597"/>
      <c r="J597" s="538"/>
    </row>
    <row r="598" spans="2:22" ht="15" x14ac:dyDescent="0.25">
      <c r="B598" s="103" t="s">
        <v>1037</v>
      </c>
      <c r="C598" s="531">
        <v>455000000</v>
      </c>
      <c r="D598"/>
      <c r="E598"/>
      <c r="F598"/>
      <c r="G598"/>
      <c r="H598"/>
      <c r="I598"/>
      <c r="J598" s="538"/>
    </row>
    <row r="599" spans="2:22" ht="15" x14ac:dyDescent="0.25">
      <c r="B599" s="103" t="s">
        <v>1038</v>
      </c>
      <c r="C599" s="531">
        <v>100000000</v>
      </c>
      <c r="D599"/>
      <c r="E599"/>
      <c r="F599"/>
      <c r="G599"/>
      <c r="H599"/>
      <c r="I599"/>
      <c r="J599" s="538"/>
    </row>
    <row r="600" spans="2:22" ht="15" x14ac:dyDescent="0.25">
      <c r="B600" s="103" t="s">
        <v>1039</v>
      </c>
      <c r="C600" s="531">
        <v>189150000</v>
      </c>
      <c r="D600"/>
      <c r="E600"/>
      <c r="F600"/>
      <c r="G600"/>
      <c r="H600"/>
      <c r="I600"/>
      <c r="J600" s="538"/>
    </row>
    <row r="601" spans="2:22" ht="15" x14ac:dyDescent="0.25">
      <c r="B601" s="103" t="s">
        <v>1040</v>
      </c>
      <c r="C601" s="531">
        <v>204100000</v>
      </c>
      <c r="D601"/>
      <c r="E601"/>
      <c r="F601"/>
      <c r="G601"/>
      <c r="H601"/>
      <c r="I601"/>
      <c r="J601" s="538"/>
    </row>
    <row r="602" spans="2:22" ht="15" x14ac:dyDescent="0.25">
      <c r="B602" s="103" t="s">
        <v>1041</v>
      </c>
      <c r="C602" s="531">
        <v>1011400000</v>
      </c>
      <c r="D602"/>
      <c r="E602"/>
      <c r="F602"/>
      <c r="G602"/>
      <c r="H602"/>
      <c r="I602"/>
      <c r="J602" s="538"/>
    </row>
    <row r="603" spans="2:22" ht="15" x14ac:dyDescent="0.25">
      <c r="B603" s="103" t="s">
        <v>1042</v>
      </c>
      <c r="C603" s="531">
        <v>139100000</v>
      </c>
      <c r="D603"/>
      <c r="E603"/>
      <c r="F603"/>
      <c r="G603"/>
      <c r="H603"/>
      <c r="I603"/>
      <c r="J603" s="538"/>
    </row>
    <row r="604" spans="2:22" ht="15" x14ac:dyDescent="0.25">
      <c r="B604" s="103" t="s">
        <v>1043</v>
      </c>
      <c r="C604" s="531">
        <v>52000000</v>
      </c>
      <c r="D604"/>
      <c r="E604" s="538"/>
      <c r="F604" s="538"/>
      <c r="G604" s="538"/>
      <c r="H604" s="538"/>
      <c r="I604" s="538"/>
      <c r="J604" s="538"/>
    </row>
    <row r="605" spans="2:22" ht="15" x14ac:dyDescent="0.25">
      <c r="B605" s="530" t="s">
        <v>1044</v>
      </c>
      <c r="C605" s="585">
        <f>SUM(C597:C604)</f>
        <v>2570750000</v>
      </c>
      <c r="D605"/>
      <c r="E605" s="538"/>
      <c r="F605" s="538"/>
      <c r="G605" s="538"/>
      <c r="H605" s="538"/>
      <c r="I605" s="538"/>
      <c r="J605" s="538"/>
    </row>
    <row r="606" spans="2:22" ht="15" x14ac:dyDescent="0.25">
      <c r="B606" t="s">
        <v>1045</v>
      </c>
      <c r="C606"/>
      <c r="D606"/>
      <c r="E606" s="538"/>
      <c r="F606" s="538"/>
      <c r="G606" s="538"/>
      <c r="H606" s="538"/>
      <c r="I606" s="538"/>
      <c r="J606" s="538"/>
    </row>
    <row r="607" spans="2:22" s="102" customFormat="1" ht="12.95" customHeight="1" x14ac:dyDescent="0.2">
      <c r="B607" s="586"/>
    </row>
    <row r="608" spans="2:22" x14ac:dyDescent="0.2">
      <c r="C608" s="587"/>
      <c r="E608" s="560"/>
      <c r="F608" s="525"/>
      <c r="G608" s="560"/>
      <c r="H608" s="561"/>
      <c r="I608" s="418"/>
      <c r="J608" s="418"/>
      <c r="K608" s="25"/>
      <c r="L608" s="25"/>
      <c r="M608" s="25"/>
      <c r="N608" s="25"/>
      <c r="O608" s="25"/>
      <c r="P608" s="25"/>
      <c r="Q608" s="25"/>
      <c r="R608" s="25"/>
    </row>
    <row r="609" spans="1:23" ht="15" x14ac:dyDescent="0.25">
      <c r="B609" s="497" t="s">
        <v>1046</v>
      </c>
      <c r="C609" s="558"/>
      <c r="F609" s="525"/>
      <c r="G609" s="560"/>
      <c r="H609" s="561"/>
      <c r="I609" s="418"/>
      <c r="J609" s="418"/>
      <c r="K609" s="25"/>
      <c r="L609" s="25"/>
      <c r="M609" s="25"/>
      <c r="N609" s="25"/>
      <c r="O609" s="25"/>
      <c r="P609" s="25"/>
      <c r="Q609" s="25"/>
      <c r="R609" s="25"/>
    </row>
    <row r="610" spans="1:23" x14ac:dyDescent="0.2">
      <c r="B610" s="551" t="s">
        <v>1047</v>
      </c>
      <c r="C610" s="588">
        <v>1000000</v>
      </c>
      <c r="F610" s="525"/>
      <c r="G610" s="560"/>
      <c r="H610" s="561"/>
      <c r="I610" s="418"/>
      <c r="J610" s="418"/>
      <c r="K610" s="25"/>
      <c r="L610" s="25"/>
      <c r="M610" s="25"/>
      <c r="N610" s="25"/>
      <c r="O610" s="25"/>
      <c r="P610" s="25"/>
      <c r="Q610" s="25"/>
      <c r="R610" s="25"/>
    </row>
    <row r="611" spans="1:23" x14ac:dyDescent="0.2">
      <c r="B611" s="103" t="s">
        <v>1048</v>
      </c>
      <c r="C611" s="552">
        <v>500</v>
      </c>
      <c r="F611" s="525"/>
      <c r="G611" s="560"/>
      <c r="H611" s="561"/>
      <c r="I611" s="418"/>
      <c r="J611" s="418"/>
      <c r="K611" s="25"/>
      <c r="L611" s="25"/>
      <c r="M611" s="25"/>
      <c r="N611" s="25"/>
      <c r="O611" s="25"/>
      <c r="P611" s="25"/>
      <c r="Q611" s="25"/>
      <c r="R611" s="25"/>
    </row>
    <row r="612" spans="1:23" ht="15" x14ac:dyDescent="0.25">
      <c r="B612" s="551" t="s">
        <v>1049</v>
      </c>
      <c r="C612" s="585">
        <f>C610*C611</f>
        <v>500000000</v>
      </c>
      <c r="F612" s="525"/>
      <c r="G612" s="560"/>
      <c r="H612" s="561"/>
      <c r="I612" s="418"/>
      <c r="J612" s="418"/>
      <c r="K612" s="25"/>
      <c r="L612" s="25"/>
      <c r="M612" s="25"/>
      <c r="N612" s="25"/>
      <c r="O612" s="25"/>
      <c r="P612" s="25"/>
      <c r="Q612" s="25"/>
      <c r="R612" s="25"/>
    </row>
    <row r="613" spans="1:23" x14ac:dyDescent="0.2">
      <c r="B613" s="551" t="s">
        <v>1050</v>
      </c>
      <c r="C613" s="589">
        <v>10</v>
      </c>
      <c r="D613" s="418"/>
      <c r="E613" s="590"/>
      <c r="F613" s="525"/>
      <c r="G613" s="560"/>
      <c r="H613" s="561"/>
      <c r="I613" s="418"/>
      <c r="J613" s="418"/>
      <c r="K613" s="25"/>
      <c r="L613" s="25"/>
      <c r="M613" s="25"/>
      <c r="N613" s="25"/>
      <c r="O613" s="25"/>
      <c r="P613" s="25"/>
      <c r="Q613" s="25"/>
      <c r="R613" s="25"/>
    </row>
    <row r="614" spans="1:23" x14ac:dyDescent="0.2">
      <c r="C614" s="533"/>
      <c r="D614" s="560"/>
      <c r="E614" s="560"/>
      <c r="F614" s="525"/>
      <c r="G614" s="560"/>
      <c r="H614" s="561"/>
      <c r="I614" s="418"/>
      <c r="J614" s="418"/>
      <c r="K614" s="25"/>
      <c r="L614" s="25"/>
      <c r="M614" s="25"/>
      <c r="N614" s="25"/>
      <c r="O614" s="25"/>
      <c r="P614" s="25"/>
      <c r="Q614" s="25"/>
      <c r="R614" s="25"/>
    </row>
    <row r="615" spans="1:23" x14ac:dyDescent="0.2">
      <c r="B615" s="586"/>
      <c r="C615" s="558"/>
      <c r="D615" s="559"/>
      <c r="E615" s="560"/>
      <c r="F615" s="525"/>
      <c r="G615" s="560"/>
      <c r="H615" s="561"/>
      <c r="I615" s="418"/>
      <c r="J615" s="418"/>
      <c r="K615" s="25"/>
      <c r="L615" s="25"/>
      <c r="M615" s="25"/>
      <c r="N615" s="25"/>
      <c r="O615" s="25"/>
      <c r="P615" s="25"/>
      <c r="Q615" s="25"/>
      <c r="R615" s="25"/>
    </row>
    <row r="616" spans="1:23" ht="15" x14ac:dyDescent="0.25">
      <c r="B616" s="591" t="s">
        <v>1051</v>
      </c>
      <c r="C616" s="558"/>
      <c r="D616" s="585" t="s">
        <v>1052</v>
      </c>
      <c r="E616" s="585" t="s">
        <v>1053</v>
      </c>
      <c r="F616" s="585" t="s">
        <v>1054</v>
      </c>
      <c r="G616" s="585" t="s">
        <v>1055</v>
      </c>
      <c r="H616" s="561"/>
      <c r="I616" s="418"/>
      <c r="J616" s="418"/>
      <c r="K616" s="25"/>
      <c r="L616" s="25"/>
      <c r="M616" s="25"/>
      <c r="N616" s="25"/>
      <c r="O616" s="25"/>
      <c r="P616" s="25"/>
      <c r="Q616" s="25"/>
      <c r="R616" s="25"/>
    </row>
    <row r="617" spans="1:23" x14ac:dyDescent="0.2">
      <c r="B617" s="592" t="s">
        <v>1056</v>
      </c>
      <c r="C617" s="552">
        <v>3000000</v>
      </c>
      <c r="D617" s="573">
        <v>0.1</v>
      </c>
      <c r="E617" s="593">
        <v>0.4</v>
      </c>
      <c r="F617" s="593">
        <v>0.3</v>
      </c>
      <c r="G617" s="593">
        <v>0.2</v>
      </c>
      <c r="H617" s="561"/>
      <c r="I617" s="418"/>
      <c r="J617" s="418"/>
      <c r="K617" s="25"/>
      <c r="L617" s="25"/>
      <c r="M617" s="25"/>
      <c r="N617" s="25"/>
      <c r="O617" s="25"/>
      <c r="P617" s="25"/>
      <c r="Q617" s="25"/>
      <c r="R617" s="25"/>
    </row>
    <row r="618" spans="1:23" x14ac:dyDescent="0.2">
      <c r="B618" s="592" t="s">
        <v>1057</v>
      </c>
      <c r="C618" s="552">
        <v>19</v>
      </c>
      <c r="D618" s="559"/>
      <c r="E618" s="560"/>
      <c r="F618" s="525"/>
      <c r="G618" s="560"/>
      <c r="H618" s="561"/>
      <c r="I618" s="418"/>
      <c r="J618" s="418"/>
      <c r="K618" s="25"/>
      <c r="L618" s="25"/>
      <c r="M618" s="25"/>
      <c r="N618" s="25"/>
      <c r="O618" s="25"/>
      <c r="P618" s="25"/>
      <c r="Q618" s="25"/>
      <c r="R618" s="25"/>
    </row>
    <row r="619" spans="1:23" x14ac:dyDescent="0.2">
      <c r="B619" s="67" t="s">
        <v>1058</v>
      </c>
      <c r="C619" s="594"/>
      <c r="D619" s="559"/>
      <c r="E619" s="560"/>
      <c r="F619" s="525"/>
      <c r="G619" s="560"/>
      <c r="H619" s="561"/>
      <c r="I619" s="418"/>
      <c r="J619" s="418"/>
      <c r="K619" s="25"/>
      <c r="L619" s="25"/>
      <c r="M619" s="25"/>
      <c r="N619" s="25"/>
      <c r="O619" s="25"/>
      <c r="P619" s="25"/>
      <c r="Q619" s="25"/>
      <c r="R619" s="25"/>
    </row>
    <row r="620" spans="1:23" x14ac:dyDescent="0.2">
      <c r="B620" s="67"/>
      <c r="C620" s="594"/>
      <c r="D620" s="595"/>
      <c r="E620" s="560"/>
      <c r="F620" s="525"/>
      <c r="G620" s="560"/>
      <c r="H620" s="561"/>
      <c r="I620" s="418"/>
      <c r="J620" s="418"/>
      <c r="K620" s="25"/>
      <c r="L620" s="25"/>
      <c r="M620" s="25"/>
      <c r="N620" s="25"/>
      <c r="O620" s="25"/>
      <c r="P620" s="25"/>
      <c r="Q620" s="25"/>
      <c r="R620" s="25"/>
    </row>
    <row r="621" spans="1:23" ht="14.45" customHeight="1" x14ac:dyDescent="0.25">
      <c r="B621" s="403" t="s">
        <v>598</v>
      </c>
      <c r="C621" s="402">
        <v>2</v>
      </c>
      <c r="D621" s="402">
        <v>3</v>
      </c>
      <c r="E621" s="402">
        <v>4</v>
      </c>
      <c r="F621" s="402">
        <v>5</v>
      </c>
      <c r="G621" s="402">
        <v>6</v>
      </c>
      <c r="H621" s="402">
        <v>7</v>
      </c>
      <c r="I621" s="402">
        <v>8</v>
      </c>
      <c r="J621" s="402">
        <v>9</v>
      </c>
      <c r="K621" s="402">
        <v>10</v>
      </c>
      <c r="L621" s="402">
        <v>11</v>
      </c>
      <c r="M621" s="402">
        <v>12</v>
      </c>
      <c r="N621" s="402">
        <v>13</v>
      </c>
      <c r="O621" s="402">
        <v>14</v>
      </c>
      <c r="P621" s="402">
        <v>15</v>
      </c>
      <c r="Q621" s="402">
        <v>16</v>
      </c>
      <c r="R621" s="402">
        <v>17</v>
      </c>
      <c r="S621" s="402">
        <v>18</v>
      </c>
      <c r="T621" s="402">
        <v>19</v>
      </c>
      <c r="U621" s="402">
        <v>20</v>
      </c>
      <c r="V621" s="402" t="s">
        <v>32</v>
      </c>
    </row>
    <row r="622" spans="1:23" customFormat="1" ht="15" x14ac:dyDescent="0.25">
      <c r="A622" s="101"/>
      <c r="B622" s="497" t="s">
        <v>1059</v>
      </c>
      <c r="C622" s="571">
        <f>$C$617*C623</f>
        <v>95245.297031799986</v>
      </c>
      <c r="D622" s="571">
        <f t="shared" ref="D622:U622" si="27">$C$617*D623</f>
        <v>109532.09158656998</v>
      </c>
      <c r="E622" s="571">
        <f t="shared" si="27"/>
        <v>125961.90532455548</v>
      </c>
      <c r="F622" s="571">
        <f t="shared" si="27"/>
        <v>144856.19112323882</v>
      </c>
      <c r="G622" s="571">
        <f t="shared" si="27"/>
        <v>166584.61979172463</v>
      </c>
      <c r="H622" s="571">
        <f t="shared" si="27"/>
        <v>199901.54375006954</v>
      </c>
      <c r="I622" s="571">
        <f t="shared" si="27"/>
        <v>239881.85250008348</v>
      </c>
      <c r="J622" s="571">
        <f t="shared" si="27"/>
        <v>287858.22300010017</v>
      </c>
      <c r="K622" s="571">
        <f t="shared" si="27"/>
        <v>345429.86760012025</v>
      </c>
      <c r="L622" s="571">
        <f t="shared" si="27"/>
        <v>287858.22300010017</v>
      </c>
      <c r="M622" s="571">
        <f t="shared" si="27"/>
        <v>230286.57840008015</v>
      </c>
      <c r="N622" s="571">
        <f t="shared" si="27"/>
        <v>184229.26272006411</v>
      </c>
      <c r="O622" s="571">
        <f t="shared" si="27"/>
        <v>147383.41017605129</v>
      </c>
      <c r="P622" s="571">
        <f t="shared" si="27"/>
        <v>117906.72814084105</v>
      </c>
      <c r="Q622" s="571">
        <f t="shared" si="27"/>
        <v>94325.382512672833</v>
      </c>
      <c r="R622" s="571">
        <f t="shared" si="27"/>
        <v>75460.306010138273</v>
      </c>
      <c r="S622" s="571">
        <f t="shared" si="27"/>
        <v>60368.244808110619</v>
      </c>
      <c r="T622" s="571">
        <f t="shared" si="27"/>
        <v>48294.595846488497</v>
      </c>
      <c r="U622" s="571">
        <f t="shared" si="27"/>
        <v>38635.676677190801</v>
      </c>
      <c r="V622" s="571">
        <f>SUM(C622:U622)</f>
        <v>3000000.0000000005</v>
      </c>
    </row>
    <row r="623" spans="1:23" customFormat="1" ht="15" x14ac:dyDescent="0.25">
      <c r="A623" s="101"/>
      <c r="B623" s="551" t="s">
        <v>1060</v>
      </c>
      <c r="C623" s="572">
        <f t="shared" ref="C623:U623" si="28">C567</f>
        <v>3.1748432343933326E-2</v>
      </c>
      <c r="D623" s="572">
        <f t="shared" si="28"/>
        <v>3.6510697195523328E-2</v>
      </c>
      <c r="E623" s="572">
        <f t="shared" si="28"/>
        <v>4.1987301774851826E-2</v>
      </c>
      <c r="F623" s="572">
        <f t="shared" si="28"/>
        <v>4.8285397041079606E-2</v>
      </c>
      <c r="G623" s="572">
        <f t="shared" si="28"/>
        <v>5.5528206597241545E-2</v>
      </c>
      <c r="H623" s="572">
        <f t="shared" si="28"/>
        <v>6.6633847916689845E-2</v>
      </c>
      <c r="I623" s="572">
        <f t="shared" si="28"/>
        <v>7.9960617500027822E-2</v>
      </c>
      <c r="J623" s="572">
        <f t="shared" si="28"/>
        <v>9.5952741000033398E-2</v>
      </c>
      <c r="K623" s="572">
        <f t="shared" si="28"/>
        <v>0.11514328920004008</v>
      </c>
      <c r="L623" s="572">
        <f t="shared" si="28"/>
        <v>9.5952741000033398E-2</v>
      </c>
      <c r="M623" s="572">
        <f t="shared" si="28"/>
        <v>7.6762192800026718E-2</v>
      </c>
      <c r="N623" s="572">
        <f t="shared" si="28"/>
        <v>6.1409754240021375E-2</v>
      </c>
      <c r="O623" s="572">
        <f t="shared" si="28"/>
        <v>4.9127803392017097E-2</v>
      </c>
      <c r="P623" s="572">
        <f t="shared" si="28"/>
        <v>3.9302242713613683E-2</v>
      </c>
      <c r="Q623" s="572">
        <f t="shared" si="28"/>
        <v>3.1441794170890942E-2</v>
      </c>
      <c r="R623" s="572">
        <f t="shared" si="28"/>
        <v>2.5153435336712757E-2</v>
      </c>
      <c r="S623" s="572">
        <f t="shared" si="28"/>
        <v>2.0122748269370206E-2</v>
      </c>
      <c r="T623" s="572">
        <f t="shared" si="28"/>
        <v>1.6098198615496166E-2</v>
      </c>
      <c r="U623" s="572">
        <f t="shared" si="28"/>
        <v>1.2878558892396932E-2</v>
      </c>
      <c r="V623" s="572">
        <f>SUM(C623:U623)</f>
        <v>1.0000000000000002</v>
      </c>
    </row>
    <row r="624" spans="1:23" ht="14.45" customHeight="1" x14ac:dyDescent="0.25">
      <c r="B624" s="381" t="s">
        <v>1061</v>
      </c>
      <c r="C624" s="405">
        <f>C622*$D$617</f>
        <v>9524.5297031799983</v>
      </c>
      <c r="D624" s="405">
        <f t="shared" ref="D624:V624" si="29">D622*$D$617</f>
        <v>10953.209158656999</v>
      </c>
      <c r="E624" s="405">
        <f t="shared" si="29"/>
        <v>12596.190532455548</v>
      </c>
      <c r="F624" s="405">
        <f t="shared" si="29"/>
        <v>14485.619112323882</v>
      </c>
      <c r="G624" s="405">
        <f t="shared" si="29"/>
        <v>16658.461979172465</v>
      </c>
      <c r="H624" s="405">
        <f t="shared" si="29"/>
        <v>19990.154375006954</v>
      </c>
      <c r="I624" s="405">
        <f t="shared" si="29"/>
        <v>23988.185250008348</v>
      </c>
      <c r="J624" s="405">
        <f t="shared" si="29"/>
        <v>28785.822300010019</v>
      </c>
      <c r="K624" s="405">
        <f t="shared" si="29"/>
        <v>34542.986760012027</v>
      </c>
      <c r="L624" s="405">
        <f t="shared" si="29"/>
        <v>28785.822300010019</v>
      </c>
      <c r="M624" s="405">
        <f t="shared" si="29"/>
        <v>23028.657840008018</v>
      </c>
      <c r="N624" s="405">
        <f t="shared" si="29"/>
        <v>18422.926272006411</v>
      </c>
      <c r="O624" s="405">
        <f t="shared" si="29"/>
        <v>14738.341017605129</v>
      </c>
      <c r="P624" s="405">
        <f t="shared" si="29"/>
        <v>11790.672814084106</v>
      </c>
      <c r="Q624" s="405">
        <f t="shared" si="29"/>
        <v>9432.5382512672841</v>
      </c>
      <c r="R624" s="405">
        <f t="shared" si="29"/>
        <v>7546.0306010138274</v>
      </c>
      <c r="S624" s="405">
        <f t="shared" si="29"/>
        <v>6036.8244808110621</v>
      </c>
      <c r="T624" s="405">
        <f t="shared" si="29"/>
        <v>4829.4595846488501</v>
      </c>
      <c r="U624" s="405">
        <f t="shared" si="29"/>
        <v>3863.5676677190804</v>
      </c>
      <c r="V624" s="405">
        <f t="shared" si="29"/>
        <v>300000.00000000006</v>
      </c>
      <c r="W624" s="596">
        <f>V624/V622</f>
        <v>0.1</v>
      </c>
    </row>
    <row r="625" spans="2:23" ht="23.1" customHeight="1" x14ac:dyDescent="0.25">
      <c r="B625" s="382" t="s">
        <v>1062</v>
      </c>
      <c r="C625" s="578">
        <f>C622*$E$617</f>
        <v>38098.118812719993</v>
      </c>
      <c r="D625" s="578">
        <f t="shared" ref="D625:V625" si="30">D622*$E$617</f>
        <v>43812.836634627994</v>
      </c>
      <c r="E625" s="578">
        <f t="shared" si="30"/>
        <v>50384.762129822193</v>
      </c>
      <c r="F625" s="578">
        <f t="shared" si="30"/>
        <v>57942.476449295529</v>
      </c>
      <c r="G625" s="578">
        <f t="shared" si="30"/>
        <v>66633.847916689861</v>
      </c>
      <c r="H625" s="578">
        <f t="shared" si="30"/>
        <v>79960.617500027816</v>
      </c>
      <c r="I625" s="578">
        <f t="shared" si="30"/>
        <v>95952.741000033391</v>
      </c>
      <c r="J625" s="578">
        <f t="shared" si="30"/>
        <v>115143.28920004008</v>
      </c>
      <c r="K625" s="578">
        <f t="shared" si="30"/>
        <v>138171.94704004811</v>
      </c>
      <c r="L625" s="578">
        <f t="shared" si="30"/>
        <v>115143.28920004008</v>
      </c>
      <c r="M625" s="578">
        <f t="shared" si="30"/>
        <v>92114.631360032072</v>
      </c>
      <c r="N625" s="578">
        <f t="shared" si="30"/>
        <v>73691.705088025643</v>
      </c>
      <c r="O625" s="578">
        <f t="shared" si="30"/>
        <v>58953.364070420517</v>
      </c>
      <c r="P625" s="578">
        <f t="shared" si="30"/>
        <v>47162.691256336424</v>
      </c>
      <c r="Q625" s="578">
        <f t="shared" si="30"/>
        <v>37730.153005069136</v>
      </c>
      <c r="R625" s="578">
        <f t="shared" si="30"/>
        <v>30184.12240405531</v>
      </c>
      <c r="S625" s="578">
        <f t="shared" si="30"/>
        <v>24147.297923244249</v>
      </c>
      <c r="T625" s="578">
        <f t="shared" si="30"/>
        <v>19317.8383385954</v>
      </c>
      <c r="U625" s="578">
        <f t="shared" si="30"/>
        <v>15454.270670876322</v>
      </c>
      <c r="V625" s="578">
        <f t="shared" si="30"/>
        <v>1200000.0000000002</v>
      </c>
      <c r="W625" s="596">
        <f>V625/V622</f>
        <v>0.4</v>
      </c>
    </row>
    <row r="626" spans="2:23" ht="23.1" customHeight="1" x14ac:dyDescent="0.25">
      <c r="B626" s="404" t="s">
        <v>1063</v>
      </c>
      <c r="C626" s="597">
        <f>C622*$F$617</f>
        <v>28573.589109539997</v>
      </c>
      <c r="D626" s="597">
        <f t="shared" ref="D626:V626" si="31">D622*$F$617</f>
        <v>32859.627475970992</v>
      </c>
      <c r="E626" s="597">
        <f t="shared" si="31"/>
        <v>37788.571597366645</v>
      </c>
      <c r="F626" s="597">
        <f t="shared" si="31"/>
        <v>43456.857336971647</v>
      </c>
      <c r="G626" s="597">
        <f t="shared" si="31"/>
        <v>49975.385937517385</v>
      </c>
      <c r="H626" s="597">
        <f t="shared" si="31"/>
        <v>59970.463125020862</v>
      </c>
      <c r="I626" s="597">
        <f t="shared" si="31"/>
        <v>71964.555750025043</v>
      </c>
      <c r="J626" s="597">
        <f t="shared" si="31"/>
        <v>86357.466900030049</v>
      </c>
      <c r="K626" s="597">
        <f t="shared" si="31"/>
        <v>103628.96028003607</v>
      </c>
      <c r="L626" s="597">
        <f t="shared" si="31"/>
        <v>86357.466900030049</v>
      </c>
      <c r="M626" s="597">
        <f t="shared" si="31"/>
        <v>69085.973520024039</v>
      </c>
      <c r="N626" s="597">
        <f t="shared" si="31"/>
        <v>55268.778816019236</v>
      </c>
      <c r="O626" s="597">
        <f t="shared" si="31"/>
        <v>44215.023052815384</v>
      </c>
      <c r="P626" s="597">
        <f t="shared" si="31"/>
        <v>35372.018442252316</v>
      </c>
      <c r="Q626" s="597">
        <f t="shared" si="31"/>
        <v>28297.614753801849</v>
      </c>
      <c r="R626" s="597">
        <f t="shared" si="31"/>
        <v>22638.09180304148</v>
      </c>
      <c r="S626" s="597">
        <f t="shared" si="31"/>
        <v>18110.473442433184</v>
      </c>
      <c r="T626" s="597">
        <f t="shared" si="31"/>
        <v>14488.378753946548</v>
      </c>
      <c r="U626" s="597">
        <f t="shared" si="31"/>
        <v>11590.703003157239</v>
      </c>
      <c r="V626" s="597">
        <f t="shared" si="31"/>
        <v>900000.00000000012</v>
      </c>
      <c r="W626" s="596">
        <f>V626/V622</f>
        <v>0.3</v>
      </c>
    </row>
    <row r="627" spans="2:23" ht="23.1" customHeight="1" x14ac:dyDescent="0.25">
      <c r="B627" s="598" t="s">
        <v>1064</v>
      </c>
      <c r="C627" s="599">
        <f>C622*$G$617</f>
        <v>19049.059406359997</v>
      </c>
      <c r="D627" s="599">
        <f t="shared" ref="D627:V627" si="32">D622*$G$617</f>
        <v>21906.418317313997</v>
      </c>
      <c r="E627" s="599">
        <f t="shared" si="32"/>
        <v>25192.381064911096</v>
      </c>
      <c r="F627" s="599">
        <f t="shared" si="32"/>
        <v>28971.238224647765</v>
      </c>
      <c r="G627" s="599">
        <f t="shared" si="32"/>
        <v>33316.923958344931</v>
      </c>
      <c r="H627" s="599">
        <f t="shared" si="32"/>
        <v>39980.308750013908</v>
      </c>
      <c r="I627" s="599">
        <f t="shared" si="32"/>
        <v>47976.370500016696</v>
      </c>
      <c r="J627" s="599">
        <f t="shared" si="32"/>
        <v>57571.644600020038</v>
      </c>
      <c r="K627" s="599">
        <f t="shared" si="32"/>
        <v>69085.973520024054</v>
      </c>
      <c r="L627" s="599">
        <f t="shared" si="32"/>
        <v>57571.644600020038</v>
      </c>
      <c r="M627" s="599">
        <f t="shared" si="32"/>
        <v>46057.315680016036</v>
      </c>
      <c r="N627" s="599">
        <f t="shared" si="32"/>
        <v>36845.852544012821</v>
      </c>
      <c r="O627" s="599">
        <f t="shared" si="32"/>
        <v>29476.682035210259</v>
      </c>
      <c r="P627" s="599">
        <f t="shared" si="32"/>
        <v>23581.345628168212</v>
      </c>
      <c r="Q627" s="599">
        <f t="shared" si="32"/>
        <v>18865.076502534568</v>
      </c>
      <c r="R627" s="599">
        <f t="shared" si="32"/>
        <v>15092.061202027655</v>
      </c>
      <c r="S627" s="599">
        <f t="shared" si="32"/>
        <v>12073.648961622124</v>
      </c>
      <c r="T627" s="599">
        <f t="shared" si="32"/>
        <v>9658.9191692977001</v>
      </c>
      <c r="U627" s="599">
        <f t="shared" si="32"/>
        <v>7727.1353354381608</v>
      </c>
      <c r="V627" s="599">
        <f t="shared" si="32"/>
        <v>600000.00000000012</v>
      </c>
    </row>
    <row r="628" spans="2:23" customFormat="1" ht="15" x14ac:dyDescent="0.25"/>
    <row r="629" spans="2:23" customFormat="1" ht="45" x14ac:dyDescent="0.25">
      <c r="B629" s="600" t="s">
        <v>1065</v>
      </c>
      <c r="C629" s="601" t="s">
        <v>1066</v>
      </c>
      <c r="D629" s="601" t="s">
        <v>1067</v>
      </c>
      <c r="E629" s="601" t="s">
        <v>1068</v>
      </c>
      <c r="F629" s="601" t="s">
        <v>1069</v>
      </c>
      <c r="G629" s="601" t="s">
        <v>1070</v>
      </c>
      <c r="H629" s="601" t="s">
        <v>1071</v>
      </c>
      <c r="I629" s="601" t="s">
        <v>1072</v>
      </c>
      <c r="J629" s="601" t="s">
        <v>1073</v>
      </c>
      <c r="K629" s="601" t="s">
        <v>1074</v>
      </c>
      <c r="L629" s="601" t="s">
        <v>1075</v>
      </c>
      <c r="M629" s="601" t="s">
        <v>1076</v>
      </c>
      <c r="N629" s="601" t="s">
        <v>1077</v>
      </c>
    </row>
    <row r="630" spans="2:23" s="602" customFormat="1" ht="15" x14ac:dyDescent="0.25">
      <c r="B630" s="603" t="s">
        <v>1078</v>
      </c>
      <c r="C630" s="552">
        <v>1000</v>
      </c>
      <c r="D630" s="552">
        <v>3</v>
      </c>
      <c r="E630" s="552">
        <v>330</v>
      </c>
      <c r="F630" s="552">
        <v>35</v>
      </c>
      <c r="G630" s="604">
        <v>0.3</v>
      </c>
      <c r="H630" s="605">
        <v>7.5</v>
      </c>
      <c r="I630" s="606">
        <f>(+C630/G630)/H630</f>
        <v>444.44444444444446</v>
      </c>
      <c r="J630" s="606">
        <f>I630*H630</f>
        <v>3333.3333333333335</v>
      </c>
      <c r="K630" s="607">
        <f>C649</f>
        <v>973962.3</v>
      </c>
      <c r="L630" s="608">
        <f>K630/C630</f>
        <v>973.96230000000003</v>
      </c>
      <c r="M630" s="606">
        <f>L630*$C$297</f>
        <v>3684804.5557540003</v>
      </c>
      <c r="N630" s="604">
        <v>0.3</v>
      </c>
      <c r="O630"/>
    </row>
    <row r="631" spans="2:23" s="602" customFormat="1" ht="15" x14ac:dyDescent="0.25">
      <c r="B631" s="592" t="s">
        <v>1079</v>
      </c>
      <c r="C631" s="552">
        <v>3000</v>
      </c>
      <c r="D631" s="552">
        <v>5</v>
      </c>
      <c r="E631" s="552">
        <v>600</v>
      </c>
      <c r="F631" s="552">
        <v>100</v>
      </c>
      <c r="G631" s="604">
        <v>0.3</v>
      </c>
      <c r="H631" s="605">
        <v>7.5</v>
      </c>
      <c r="I631" s="606">
        <f>(+C631/G631)/H631</f>
        <v>1333.3333333333333</v>
      </c>
      <c r="J631" s="606">
        <f>I631*H631</f>
        <v>10000</v>
      </c>
      <c r="K631" s="607">
        <f>D649</f>
        <v>2229332.2466666666</v>
      </c>
      <c r="L631" s="608">
        <f t="shared" ref="L631:L633" si="33">K631/C631</f>
        <v>743.11074888888891</v>
      </c>
      <c r="M631" s="606">
        <f>L631*$C$297</f>
        <v>2811420.8044146518</v>
      </c>
      <c r="N631" s="604">
        <v>0.4</v>
      </c>
      <c r="O631"/>
    </row>
    <row r="632" spans="2:23" s="602" customFormat="1" ht="15" x14ac:dyDescent="0.25">
      <c r="B632" s="592" t="s">
        <v>1080</v>
      </c>
      <c r="C632" s="552">
        <v>9000</v>
      </c>
      <c r="D632" s="552">
        <v>3</v>
      </c>
      <c r="E632" s="552">
        <v>3000</v>
      </c>
      <c r="F632" s="552">
        <v>300</v>
      </c>
      <c r="G632" s="604">
        <v>0.3</v>
      </c>
      <c r="H632" s="605">
        <v>7.5</v>
      </c>
      <c r="I632" s="606">
        <f>(+C632/G632)/H632</f>
        <v>4000</v>
      </c>
      <c r="J632" s="606">
        <f>I632*H632</f>
        <v>30000</v>
      </c>
      <c r="K632" s="607">
        <f>E649</f>
        <v>5393129.5819364265</v>
      </c>
      <c r="L632" s="608">
        <f t="shared" si="33"/>
        <v>599.2366202151585</v>
      </c>
      <c r="M632" s="606">
        <f>L632*$C$297</f>
        <v>2267099.8950816123</v>
      </c>
      <c r="N632" s="604">
        <v>0.2</v>
      </c>
      <c r="O632"/>
    </row>
    <row r="633" spans="2:23" s="602" customFormat="1" ht="15" x14ac:dyDescent="0.25">
      <c r="B633" s="592" t="s">
        <v>1081</v>
      </c>
      <c r="C633" s="552">
        <v>27000</v>
      </c>
      <c r="D633" s="552">
        <v>6</v>
      </c>
      <c r="E633" s="552">
        <v>4500</v>
      </c>
      <c r="F633" s="552">
        <v>600</v>
      </c>
      <c r="G633" s="604">
        <v>0.3</v>
      </c>
      <c r="H633" s="605">
        <v>7.5</v>
      </c>
      <c r="I633" s="606">
        <f>(+C633/G633)/H633</f>
        <v>12000</v>
      </c>
      <c r="J633" s="606">
        <f>I633*H633</f>
        <v>90000</v>
      </c>
      <c r="K633" s="607">
        <f>F649</f>
        <v>9837397.2125342749</v>
      </c>
      <c r="L633" s="608">
        <f t="shared" si="33"/>
        <v>364.34804490867685</v>
      </c>
      <c r="M633" s="606">
        <f>L633*$C$297</f>
        <v>1378442.8162769293</v>
      </c>
      <c r="N633" s="604">
        <v>0</v>
      </c>
      <c r="O633"/>
      <c r="P633" s="609"/>
    </row>
    <row r="634" spans="2:23" s="602" customFormat="1" ht="15" x14ac:dyDescent="0.25">
      <c r="B634" s="610"/>
      <c r="C634" s="558"/>
      <c r="D634" s="558"/>
      <c r="E634" s="558"/>
      <c r="F634" s="558"/>
      <c r="G634" s="611"/>
      <c r="H634" s="612"/>
      <c r="I634" s="613"/>
      <c r="J634" s="614"/>
      <c r="K634" s="614"/>
      <c r="L634" s="614"/>
      <c r="M634"/>
      <c r="N634"/>
      <c r="O634"/>
      <c r="P634" s="609"/>
    </row>
    <row r="635" spans="2:23" ht="14.45" customHeight="1" x14ac:dyDescent="0.25">
      <c r="B635" s="403" t="s">
        <v>598</v>
      </c>
      <c r="C635" s="402">
        <v>2</v>
      </c>
      <c r="D635" s="402">
        <v>3</v>
      </c>
      <c r="E635" s="402">
        <v>4</v>
      </c>
      <c r="F635" s="402">
        <v>5</v>
      </c>
      <c r="G635" s="402">
        <v>6</v>
      </c>
      <c r="H635" s="402">
        <v>7</v>
      </c>
      <c r="I635" s="402">
        <v>8</v>
      </c>
      <c r="J635" s="402">
        <v>9</v>
      </c>
      <c r="K635" s="402">
        <v>10</v>
      </c>
      <c r="L635" s="402">
        <v>11</v>
      </c>
      <c r="M635" s="402">
        <v>12</v>
      </c>
      <c r="N635" s="402">
        <v>13</v>
      </c>
      <c r="O635" s="402">
        <v>14</v>
      </c>
      <c r="P635" s="402">
        <v>15</v>
      </c>
      <c r="Q635" s="402">
        <v>16</v>
      </c>
      <c r="R635" s="402">
        <v>17</v>
      </c>
      <c r="S635" s="402">
        <v>18</v>
      </c>
      <c r="T635" s="402">
        <v>19</v>
      </c>
      <c r="U635" s="402">
        <v>20</v>
      </c>
      <c r="V635" s="402" t="s">
        <v>32</v>
      </c>
    </row>
    <row r="636" spans="2:23" ht="14.45" customHeight="1" x14ac:dyDescent="0.25">
      <c r="B636" s="381" t="s">
        <v>601</v>
      </c>
      <c r="C636" s="405">
        <f>C624*$M$630*$N$630</f>
        <v>10528809132.507586</v>
      </c>
      <c r="D636" s="405">
        <f t="shared" ref="D636:V636" si="34">D624*$M$630*$N$630</f>
        <v>12108130502.383724</v>
      </c>
      <c r="E636" s="405">
        <f t="shared" si="34"/>
        <v>13924350077.741283</v>
      </c>
      <c r="F636" s="405">
        <f t="shared" si="34"/>
        <v>16013002589.402477</v>
      </c>
      <c r="G636" s="405">
        <f t="shared" si="34"/>
        <v>18414952977.812851</v>
      </c>
      <c r="H636" s="405">
        <f t="shared" si="34"/>
        <v>22097943573.375416</v>
      </c>
      <c r="I636" s="405">
        <f t="shared" si="34"/>
        <v>26517532288.050503</v>
      </c>
      <c r="J636" s="405">
        <f t="shared" si="34"/>
        <v>31821038745.660603</v>
      </c>
      <c r="K636" s="405">
        <f t="shared" si="34"/>
        <v>38185246494.792725</v>
      </c>
      <c r="L636" s="405">
        <f t="shared" si="34"/>
        <v>31821038745.660603</v>
      </c>
      <c r="M636" s="405">
        <f t="shared" si="34"/>
        <v>25456830996.528488</v>
      </c>
      <c r="N636" s="405">
        <f t="shared" si="34"/>
        <v>20365464797.222786</v>
      </c>
      <c r="O636" s="405">
        <f t="shared" si="34"/>
        <v>16292371837.778229</v>
      </c>
      <c r="P636" s="405">
        <f t="shared" si="34"/>
        <v>13033897470.222586</v>
      </c>
      <c r="Q636" s="405">
        <f t="shared" si="34"/>
        <v>10427117976.178068</v>
      </c>
      <c r="R636" s="405">
        <f t="shared" si="34"/>
        <v>8341694380.9424543</v>
      </c>
      <c r="S636" s="405">
        <f t="shared" si="34"/>
        <v>6673355504.7539635</v>
      </c>
      <c r="T636" s="405">
        <f t="shared" si="34"/>
        <v>5338684403.8031721</v>
      </c>
      <c r="U636" s="405">
        <f t="shared" si="34"/>
        <v>4270947523.0425372</v>
      </c>
      <c r="V636" s="405">
        <f t="shared" si="34"/>
        <v>331632410017.86005</v>
      </c>
    </row>
    <row r="637" spans="2:23" ht="23.1" customHeight="1" x14ac:dyDescent="0.25">
      <c r="B637" s="382" t="s">
        <v>602</v>
      </c>
      <c r="C637" s="578">
        <f>C625*$M$631*$N$631</f>
        <v>42843937535.656891</v>
      </c>
      <c r="D637" s="578">
        <f t="shared" ref="D637:V637" si="35">D625*$M$631*$N$631</f>
        <v>49270528166.005432</v>
      </c>
      <c r="E637" s="578">
        <f t="shared" si="35"/>
        <v>56661107390.906242</v>
      </c>
      <c r="F637" s="578">
        <f t="shared" si="35"/>
        <v>65160273499.542191</v>
      </c>
      <c r="G637" s="578">
        <f t="shared" si="35"/>
        <v>74934314524.473511</v>
      </c>
      <c r="H637" s="578">
        <f t="shared" si="35"/>
        <v>89921177429.36821</v>
      </c>
      <c r="I637" s="578">
        <f t="shared" si="35"/>
        <v>107905412915.24185</v>
      </c>
      <c r="J637" s="578">
        <f t="shared" si="35"/>
        <v>129486495498.29024</v>
      </c>
      <c r="K637" s="578">
        <f t="shared" si="35"/>
        <v>155383794597.9483</v>
      </c>
      <c r="L637" s="578">
        <f t="shared" si="35"/>
        <v>129486495498.29024</v>
      </c>
      <c r="M637" s="578">
        <f t="shared" si="35"/>
        <v>103589196398.6322</v>
      </c>
      <c r="N637" s="578">
        <f t="shared" si="35"/>
        <v>82871357118.905746</v>
      </c>
      <c r="O637" s="578">
        <f t="shared" si="35"/>
        <v>66297085695.124603</v>
      </c>
      <c r="P637" s="578">
        <f t="shared" si="35"/>
        <v>53037668556.099693</v>
      </c>
      <c r="Q637" s="578">
        <f t="shared" si="35"/>
        <v>42430134844.879753</v>
      </c>
      <c r="R637" s="578">
        <f t="shared" si="35"/>
        <v>33944107875.903797</v>
      </c>
      <c r="S637" s="578">
        <f t="shared" si="35"/>
        <v>27155286300.723038</v>
      </c>
      <c r="T637" s="578">
        <f t="shared" si="35"/>
        <v>21724229040.578434</v>
      </c>
      <c r="U637" s="578">
        <f t="shared" si="35"/>
        <v>17379383232.462749</v>
      </c>
      <c r="V637" s="578">
        <f t="shared" si="35"/>
        <v>1349481986119.0332</v>
      </c>
    </row>
    <row r="638" spans="2:23" ht="23.1" customHeight="1" x14ac:dyDescent="0.25">
      <c r="B638" s="404" t="s">
        <v>1082</v>
      </c>
      <c r="C638" s="597">
        <f>C626*$M$632*$N$632</f>
        <v>12955836174.468645</v>
      </c>
      <c r="D638" s="597">
        <f t="shared" ref="D638:V638" si="36">D626*$M$632*$N$632</f>
        <v>14899211600.638941</v>
      </c>
      <c r="E638" s="597">
        <f t="shared" si="36"/>
        <v>17134093340.734785</v>
      </c>
      <c r="F638" s="597">
        <f t="shared" si="36"/>
        <v>19704207341.845001</v>
      </c>
      <c r="G638" s="597">
        <f t="shared" si="36"/>
        <v>22659838443.12175</v>
      </c>
      <c r="H638" s="597">
        <f t="shared" si="36"/>
        <v>27191806131.746101</v>
      </c>
      <c r="I638" s="597">
        <f t="shared" si="36"/>
        <v>32630167358.095325</v>
      </c>
      <c r="J638" s="597">
        <f t="shared" si="36"/>
        <v>39156200829.714386</v>
      </c>
      <c r="K638" s="597">
        <f t="shared" si="36"/>
        <v>46987440995.657272</v>
      </c>
      <c r="L638" s="597">
        <f t="shared" si="36"/>
        <v>39156200829.714386</v>
      </c>
      <c r="M638" s="597">
        <f t="shared" si="36"/>
        <v>31324960663.771511</v>
      </c>
      <c r="N638" s="597">
        <f t="shared" si="36"/>
        <v>25059968531.017212</v>
      </c>
      <c r="O638" s="597">
        <f t="shared" si="36"/>
        <v>20047974824.813766</v>
      </c>
      <c r="P638" s="597">
        <f t="shared" si="36"/>
        <v>16038379859.851017</v>
      </c>
      <c r="Q638" s="597">
        <f t="shared" si="36"/>
        <v>12830703887.880812</v>
      </c>
      <c r="R638" s="597">
        <f t="shared" si="36"/>
        <v>10264563110.304649</v>
      </c>
      <c r="S638" s="597">
        <f t="shared" si="36"/>
        <v>8211650488.2437201</v>
      </c>
      <c r="T638" s="597">
        <f t="shared" si="36"/>
        <v>6569320390.5949764</v>
      </c>
      <c r="U638" s="597">
        <f t="shared" si="36"/>
        <v>5255456312.4759817</v>
      </c>
      <c r="V638" s="597">
        <f t="shared" si="36"/>
        <v>408077981114.69031</v>
      </c>
    </row>
    <row r="639" spans="2:23" ht="23.1" customHeight="1" x14ac:dyDescent="0.25">
      <c r="B639" s="598" t="s">
        <v>1083</v>
      </c>
      <c r="C639" s="599">
        <f>C627*$M$633</f>
        <v>26258039095.529404</v>
      </c>
      <c r="D639" s="599">
        <f t="shared" ref="D639:V639" si="37">D627*$M$633</f>
        <v>30196744959.858818</v>
      </c>
      <c r="E639" s="599">
        <f t="shared" si="37"/>
        <v>34726256703.837639</v>
      </c>
      <c r="F639" s="599">
        <f t="shared" si="37"/>
        <v>39935195209.413292</v>
      </c>
      <c r="G639" s="599">
        <f t="shared" si="37"/>
        <v>45925474490.825287</v>
      </c>
      <c r="H639" s="599">
        <f t="shared" si="37"/>
        <v>55110569388.990334</v>
      </c>
      <c r="I639" s="599">
        <f t="shared" si="37"/>
        <v>66132683266.788406</v>
      </c>
      <c r="J639" s="599">
        <f t="shared" si="37"/>
        <v>79359219920.146088</v>
      </c>
      <c r="K639" s="599">
        <f t="shared" si="37"/>
        <v>95231063904.175323</v>
      </c>
      <c r="L639" s="599">
        <f t="shared" si="37"/>
        <v>79359219920.146088</v>
      </c>
      <c r="M639" s="599">
        <f t="shared" si="37"/>
        <v>63487375936.116882</v>
      </c>
      <c r="N639" s="599">
        <f t="shared" si="37"/>
        <v>50789900748.893494</v>
      </c>
      <c r="O639" s="599">
        <f t="shared" si="37"/>
        <v>40631920599.114799</v>
      </c>
      <c r="P639" s="599">
        <f t="shared" si="37"/>
        <v>32505536479.291847</v>
      </c>
      <c r="Q639" s="599">
        <f t="shared" si="37"/>
        <v>26004429183.433475</v>
      </c>
      <c r="R639" s="599">
        <f t="shared" si="37"/>
        <v>20803543346.74678</v>
      </c>
      <c r="S639" s="599">
        <f t="shared" si="37"/>
        <v>16642834677.397425</v>
      </c>
      <c r="T639" s="599">
        <f t="shared" si="37"/>
        <v>13314267741.91794</v>
      </c>
      <c r="U639" s="599">
        <f t="shared" si="37"/>
        <v>10651414193.534353</v>
      </c>
      <c r="V639" s="599">
        <f t="shared" si="37"/>
        <v>827065689766.15771</v>
      </c>
    </row>
    <row r="640" spans="2:23" s="602" customFormat="1" ht="15" x14ac:dyDescent="0.25">
      <c r="B640" s="610"/>
      <c r="C640" s="558"/>
      <c r="D640" s="558"/>
      <c r="E640" s="558"/>
      <c r="F640" s="558"/>
      <c r="G640" s="611"/>
      <c r="H640" s="612"/>
      <c r="I640" s="613"/>
      <c r="J640" s="614"/>
      <c r="K640" s="614"/>
      <c r="L640" s="614"/>
      <c r="M640"/>
      <c r="N640"/>
      <c r="O640"/>
      <c r="P640" s="609"/>
    </row>
    <row r="641" spans="2:18" customFormat="1" ht="15" x14ac:dyDescent="0.25"/>
    <row r="642" spans="2:18" s="602" customFormat="1" ht="30" x14ac:dyDescent="0.25">
      <c r="B642" s="600" t="s">
        <v>1084</v>
      </c>
      <c r="C642" s="601" t="s">
        <v>1085</v>
      </c>
      <c r="D642" s="601" t="s">
        <v>1086</v>
      </c>
      <c r="E642" s="601" t="s">
        <v>1087</v>
      </c>
      <c r="F642" s="601" t="s">
        <v>1088</v>
      </c>
      <c r="G642" s="611"/>
      <c r="H642" s="612"/>
      <c r="I642" s="613"/>
      <c r="J642" s="614"/>
      <c r="K642" s="614"/>
      <c r="L642" s="614"/>
      <c r="M642"/>
      <c r="P642" s="609"/>
    </row>
    <row r="643" spans="2:18" s="602" customFormat="1" ht="15" x14ac:dyDescent="0.2">
      <c r="B643" s="615" t="s">
        <v>1089</v>
      </c>
      <c r="C643" s="552">
        <v>269187.33333333337</v>
      </c>
      <c r="D643" s="552">
        <v>838037.2888888889</v>
      </c>
      <c r="E643" s="552">
        <v>1331097.473058529</v>
      </c>
      <c r="F643" s="552">
        <v>2620770.4378746701</v>
      </c>
      <c r="G643" s="611"/>
      <c r="H643" s="612"/>
      <c r="I643" s="613"/>
      <c r="J643" s="614"/>
      <c r="K643" s="614"/>
      <c r="L643" s="614"/>
      <c r="P643" s="609"/>
    </row>
    <row r="644" spans="2:18" s="602" customFormat="1" ht="15" x14ac:dyDescent="0.2">
      <c r="B644" s="615" t="s">
        <v>1090</v>
      </c>
      <c r="C644" s="552">
        <v>234375</v>
      </c>
      <c r="D644" s="552">
        <v>312500</v>
      </c>
      <c r="E644" s="552">
        <v>1250000</v>
      </c>
      <c r="F644" s="552">
        <v>2187500</v>
      </c>
      <c r="G644" s="611"/>
      <c r="H644" s="612"/>
      <c r="I644" s="613"/>
      <c r="J644" s="614"/>
      <c r="K644" s="614"/>
      <c r="L644" s="614"/>
      <c r="P644" s="609"/>
    </row>
    <row r="645" spans="2:18" customFormat="1" ht="15" x14ac:dyDescent="0.25">
      <c r="B645" s="615" t="s">
        <v>1091</v>
      </c>
      <c r="C645" s="552">
        <v>53837.466666666674</v>
      </c>
      <c r="D645" s="552">
        <v>167607.45777777777</v>
      </c>
      <c r="E645" s="552">
        <v>244355.02554456377</v>
      </c>
      <c r="F645" s="552">
        <v>369587.71215960418</v>
      </c>
      <c r="G645" s="614"/>
      <c r="H645" s="614"/>
      <c r="I645" s="614"/>
      <c r="J645" s="614"/>
      <c r="K645" s="614"/>
      <c r="L645" s="614"/>
      <c r="N645" s="616"/>
      <c r="O645" s="617"/>
    </row>
    <row r="646" spans="2:18" customFormat="1" ht="15" x14ac:dyDescent="0.25">
      <c r="B646" s="615" t="s">
        <v>1092</v>
      </c>
      <c r="C646" s="552">
        <v>246250</v>
      </c>
      <c r="D646" s="552">
        <v>594000</v>
      </c>
      <c r="E646" s="552">
        <v>1487989.5833333335</v>
      </c>
      <c r="F646" s="552">
        <v>2551007.8125</v>
      </c>
      <c r="G646" s="614"/>
      <c r="H646" s="614"/>
      <c r="I646" s="614"/>
      <c r="J646" s="614"/>
      <c r="K646" s="614"/>
      <c r="L646" s="614"/>
    </row>
    <row r="647" spans="2:18" customFormat="1" ht="15" x14ac:dyDescent="0.25">
      <c r="B647" s="615" t="s">
        <v>1093</v>
      </c>
      <c r="C647" s="552">
        <v>46875</v>
      </c>
      <c r="D647" s="552">
        <v>78125</v>
      </c>
      <c r="E647" s="552">
        <v>312500</v>
      </c>
      <c r="F647" s="552">
        <v>574218.75</v>
      </c>
      <c r="G647" s="614"/>
      <c r="H647" s="614"/>
      <c r="I647" s="614"/>
      <c r="J647" s="614"/>
      <c r="K647" s="614"/>
      <c r="L647" s="614"/>
      <c r="N647" s="616"/>
      <c r="O647" s="618"/>
    </row>
    <row r="648" spans="2:18" customFormat="1" ht="15" x14ac:dyDescent="0.25">
      <c r="B648" s="619" t="s">
        <v>924</v>
      </c>
      <c r="C648" s="552">
        <v>123437.5</v>
      </c>
      <c r="D648" s="552">
        <v>239062.5</v>
      </c>
      <c r="E648" s="552">
        <v>767187.5</v>
      </c>
      <c r="F648" s="552">
        <v>1534312.5</v>
      </c>
      <c r="G648" s="614"/>
      <c r="H648" s="614"/>
      <c r="I648" s="614"/>
      <c r="J648" s="614"/>
      <c r="K648" s="614"/>
      <c r="L648" s="614"/>
      <c r="N648" s="616"/>
      <c r="O648" s="617"/>
    </row>
    <row r="649" spans="2:18" customFormat="1" ht="15" x14ac:dyDescent="0.25">
      <c r="B649" s="600" t="s">
        <v>1094</v>
      </c>
      <c r="C649" s="555">
        <f>SUM(C643:C648)</f>
        <v>973962.3</v>
      </c>
      <c r="D649" s="555">
        <f t="shared" ref="D649:F649" si="38">SUM(D643:D648)</f>
        <v>2229332.2466666666</v>
      </c>
      <c r="E649" s="555">
        <f t="shared" si="38"/>
        <v>5393129.5819364265</v>
      </c>
      <c r="F649" s="555">
        <f t="shared" si="38"/>
        <v>9837397.2125342749</v>
      </c>
      <c r="G649" s="614"/>
      <c r="H649" s="614"/>
      <c r="I649" s="614"/>
      <c r="J649" s="614"/>
      <c r="K649" s="614"/>
      <c r="L649" s="614"/>
    </row>
    <row r="650" spans="2:18" customFormat="1" ht="15" x14ac:dyDescent="0.25">
      <c r="N650" s="616"/>
      <c r="O650" s="618"/>
    </row>
    <row r="651" spans="2:18" ht="15" x14ac:dyDescent="0.25">
      <c r="B651" s="497" t="s">
        <v>1095</v>
      </c>
      <c r="C651" s="25"/>
      <c r="D651" s="25"/>
      <c r="E651" s="25"/>
      <c r="F651" s="525"/>
      <c r="G651" s="25"/>
      <c r="H651" s="25"/>
      <c r="I651" s="418"/>
      <c r="J651" s="418"/>
      <c r="K651" s="25"/>
      <c r="L651" s="25"/>
      <c r="M651" s="25"/>
      <c r="N651" s="25"/>
      <c r="O651" s="25"/>
      <c r="P651" s="25"/>
      <c r="Q651" s="25"/>
      <c r="R651" s="25"/>
    </row>
    <row r="652" spans="2:18" x14ac:dyDescent="0.2">
      <c r="B652" s="548" t="s">
        <v>1004</v>
      </c>
      <c r="C652" s="50">
        <f>C532</f>
        <v>38004</v>
      </c>
      <c r="D652" s="25"/>
      <c r="E652" s="25"/>
      <c r="F652" s="525"/>
      <c r="G652" s="25"/>
      <c r="H652" s="25"/>
      <c r="I652" s="418"/>
      <c r="J652" s="418"/>
      <c r="K652" s="25"/>
      <c r="L652" s="25"/>
      <c r="M652" s="25"/>
      <c r="N652" s="25"/>
      <c r="O652" s="25"/>
      <c r="P652" s="25"/>
      <c r="Q652" s="25"/>
      <c r="R652" s="25"/>
    </row>
    <row r="653" spans="2:18" ht="30" x14ac:dyDescent="0.2">
      <c r="B653" s="549" t="s">
        <v>1005</v>
      </c>
      <c r="C653" s="601" t="s">
        <v>1006</v>
      </c>
      <c r="D653" s="601" t="s">
        <v>1007</v>
      </c>
      <c r="E653" s="601" t="s">
        <v>1096</v>
      </c>
      <c r="F653" s="601" t="s">
        <v>1097</v>
      </c>
      <c r="G653" s="601" t="s">
        <v>1098</v>
      </c>
      <c r="H653" s="601" t="s">
        <v>1011</v>
      </c>
      <c r="I653" s="418"/>
      <c r="J653" s="418"/>
      <c r="K653" s="25"/>
      <c r="L653" s="25"/>
      <c r="M653" s="25"/>
      <c r="N653" s="25"/>
      <c r="O653" s="25"/>
      <c r="P653" s="25"/>
      <c r="Q653" s="25"/>
      <c r="R653" s="25"/>
    </row>
    <row r="654" spans="2:18" x14ac:dyDescent="0.2">
      <c r="B654" s="551" t="s">
        <v>1012</v>
      </c>
      <c r="C654" s="552">
        <v>23563</v>
      </c>
      <c r="D654" s="553">
        <f>C652*C654</f>
        <v>895488252</v>
      </c>
      <c r="E654" s="554">
        <v>0.1</v>
      </c>
      <c r="F654" s="50">
        <f>D654*E654</f>
        <v>89548825.200000003</v>
      </c>
      <c r="G654" s="554">
        <v>0.1</v>
      </c>
      <c r="H654" s="620">
        <f>F654*G654</f>
        <v>8954882.5200000014</v>
      </c>
      <c r="I654" s="418"/>
      <c r="J654" s="418"/>
      <c r="K654" s="25"/>
      <c r="L654" s="25"/>
      <c r="M654" s="25"/>
      <c r="N654" s="25"/>
      <c r="O654" s="25"/>
      <c r="P654" s="25"/>
      <c r="Q654" s="25"/>
      <c r="R654" s="25"/>
    </row>
    <row r="655" spans="2:18" x14ac:dyDescent="0.2">
      <c r="B655" s="556" t="s">
        <v>1013</v>
      </c>
      <c r="C655" s="552">
        <v>204995</v>
      </c>
      <c r="D655" s="553">
        <f>C652*C655</f>
        <v>7790629980</v>
      </c>
      <c r="E655" s="554">
        <v>0.05</v>
      </c>
      <c r="F655" s="50">
        <f>D655*E655</f>
        <v>389531499</v>
      </c>
      <c r="G655" s="554">
        <v>0.05</v>
      </c>
      <c r="H655" s="557">
        <f>F655*G655</f>
        <v>19476574.949999999</v>
      </c>
      <c r="I655" s="418"/>
      <c r="J655" s="418"/>
      <c r="K655" s="25"/>
      <c r="L655" s="25"/>
      <c r="M655" s="25"/>
      <c r="N655" s="25"/>
      <c r="O655" s="25"/>
      <c r="P655" s="25"/>
      <c r="Q655" s="25"/>
      <c r="R655" s="25"/>
    </row>
    <row r="656" spans="2:18" x14ac:dyDescent="0.2">
      <c r="B656" s="551" t="s">
        <v>1014</v>
      </c>
      <c r="C656" s="552">
        <v>1736565</v>
      </c>
      <c r="D656" s="553">
        <f>C652*C656</f>
        <v>65996416260</v>
      </c>
      <c r="E656" s="554">
        <v>0.03</v>
      </c>
      <c r="F656" s="50">
        <f>D656*E656</f>
        <v>1979892487.8</v>
      </c>
      <c r="G656" s="554">
        <v>0.02</v>
      </c>
      <c r="H656" s="557">
        <f>F656*G656</f>
        <v>39597849.755999997</v>
      </c>
      <c r="I656" s="418"/>
      <c r="J656" s="418"/>
      <c r="K656" s="25"/>
      <c r="L656" s="25"/>
      <c r="M656" s="25"/>
      <c r="N656" s="25"/>
      <c r="O656" s="25"/>
      <c r="P656" s="25"/>
      <c r="Q656" s="25"/>
      <c r="R656" s="25"/>
    </row>
    <row r="657" spans="1:22" x14ac:dyDescent="0.2">
      <c r="B657" s="418"/>
      <c r="C657" s="558"/>
      <c r="D657" s="559"/>
      <c r="E657" s="560"/>
      <c r="F657" s="525"/>
      <c r="G657" s="560"/>
      <c r="H657" s="561"/>
      <c r="I657" s="418"/>
      <c r="J657" s="418"/>
      <c r="K657" s="25"/>
      <c r="L657" s="25"/>
      <c r="M657" s="25"/>
      <c r="N657" s="25"/>
      <c r="O657" s="25"/>
      <c r="P657" s="25"/>
      <c r="Q657" s="25"/>
      <c r="R657" s="25"/>
    </row>
    <row r="658" spans="1:22" ht="15" x14ac:dyDescent="0.25">
      <c r="B658" s="591" t="s">
        <v>1099</v>
      </c>
      <c r="C658" s="538"/>
      <c r="D658" s="538"/>
    </row>
    <row r="659" spans="1:22" ht="15" x14ac:dyDescent="0.25">
      <c r="B659" s="54" t="s">
        <v>1100</v>
      </c>
      <c r="C659" s="535">
        <v>950000</v>
      </c>
      <c r="D659" s="585" t="s">
        <v>1052</v>
      </c>
      <c r="E659" s="585" t="s">
        <v>1053</v>
      </c>
      <c r="F659" s="585" t="s">
        <v>1054</v>
      </c>
    </row>
    <row r="660" spans="1:22" x14ac:dyDescent="0.2">
      <c r="B660" s="54" t="s">
        <v>1101</v>
      </c>
      <c r="C660" s="593">
        <v>0.3</v>
      </c>
      <c r="D660" s="573">
        <v>0.1</v>
      </c>
      <c r="E660" s="593">
        <v>0.4</v>
      </c>
      <c r="F660" s="593">
        <v>0.3</v>
      </c>
    </row>
    <row r="661" spans="1:22" x14ac:dyDescent="0.2">
      <c r="B661" s="54" t="s">
        <v>1102</v>
      </c>
      <c r="C661" s="535">
        <f>+C659*C660</f>
        <v>285000</v>
      </c>
    </row>
    <row r="662" spans="1:22" ht="15" x14ac:dyDescent="0.2">
      <c r="B662" s="621" t="s">
        <v>1103</v>
      </c>
      <c r="C662" s="622">
        <v>1500000</v>
      </c>
    </row>
    <row r="663" spans="1:22" ht="15" x14ac:dyDescent="0.2">
      <c r="B663" s="621" t="s">
        <v>1104</v>
      </c>
      <c r="C663" s="623">
        <v>7.4999999999999997E-2</v>
      </c>
    </row>
    <row r="664" spans="1:22" s="102" customFormat="1" ht="15" x14ac:dyDescent="0.25">
      <c r="B664" s="624"/>
      <c r="C664" s="625"/>
      <c r="D664" s="625"/>
      <c r="E664" s="625"/>
      <c r="F664" s="625"/>
      <c r="G664" s="625"/>
      <c r="H664" s="625"/>
      <c r="I664" s="625"/>
    </row>
    <row r="665" spans="1:22" ht="14.45" customHeight="1" x14ac:dyDescent="0.25">
      <c r="B665" s="403" t="s">
        <v>598</v>
      </c>
      <c r="C665" s="402">
        <v>2</v>
      </c>
      <c r="D665" s="402">
        <v>3</v>
      </c>
      <c r="E665" s="402">
        <v>4</v>
      </c>
      <c r="F665" s="402">
        <v>5</v>
      </c>
      <c r="G665" s="402">
        <v>6</v>
      </c>
      <c r="H665" s="402">
        <v>7</v>
      </c>
      <c r="I665" s="402">
        <v>8</v>
      </c>
      <c r="J665" s="402">
        <v>9</v>
      </c>
      <c r="K665" s="402">
        <v>10</v>
      </c>
      <c r="L665" s="402">
        <v>11</v>
      </c>
      <c r="M665" s="402">
        <v>12</v>
      </c>
      <c r="N665" s="402">
        <v>13</v>
      </c>
      <c r="O665" s="402">
        <v>14</v>
      </c>
      <c r="P665" s="402">
        <v>15</v>
      </c>
      <c r="Q665" s="402">
        <v>16</v>
      </c>
      <c r="R665" s="402">
        <v>17</v>
      </c>
      <c r="S665" s="402">
        <v>18</v>
      </c>
      <c r="T665" s="402">
        <v>19</v>
      </c>
      <c r="U665" s="402">
        <v>20</v>
      </c>
      <c r="V665" s="402" t="s">
        <v>32</v>
      </c>
    </row>
    <row r="666" spans="1:22" customFormat="1" ht="15" x14ac:dyDescent="0.25">
      <c r="A666" s="101"/>
      <c r="B666" s="626" t="s">
        <v>1105</v>
      </c>
      <c r="C666" s="626">
        <f>$C$661*C667</f>
        <v>9048.3032180209975</v>
      </c>
      <c r="D666" s="626">
        <f t="shared" ref="D666:U666" si="39">$C$661*D667</f>
        <v>10405.548700724148</v>
      </c>
      <c r="E666" s="626">
        <f t="shared" si="39"/>
        <v>11966.381005832771</v>
      </c>
      <c r="F666" s="626">
        <f t="shared" si="39"/>
        <v>13761.338156707689</v>
      </c>
      <c r="G666" s="626">
        <f t="shared" si="39"/>
        <v>15825.53888021384</v>
      </c>
      <c r="H666" s="626">
        <f t="shared" si="39"/>
        <v>18990.646656256606</v>
      </c>
      <c r="I666" s="626">
        <f t="shared" si="39"/>
        <v>22788.775987507928</v>
      </c>
      <c r="J666" s="626">
        <f t="shared" si="39"/>
        <v>27346.531185009517</v>
      </c>
      <c r="K666" s="626">
        <f t="shared" si="39"/>
        <v>32815.83742201142</v>
      </c>
      <c r="L666" s="626">
        <f t="shared" si="39"/>
        <v>27346.531185009517</v>
      </c>
      <c r="M666" s="626">
        <f t="shared" si="39"/>
        <v>21877.224948007613</v>
      </c>
      <c r="N666" s="626">
        <f t="shared" si="39"/>
        <v>17501.779958406092</v>
      </c>
      <c r="O666" s="626">
        <f t="shared" si="39"/>
        <v>14001.423966724873</v>
      </c>
      <c r="P666" s="626">
        <f t="shared" si="39"/>
        <v>11201.139173379899</v>
      </c>
      <c r="Q666" s="626">
        <f t="shared" si="39"/>
        <v>8960.9113387039179</v>
      </c>
      <c r="R666" s="626">
        <f t="shared" si="39"/>
        <v>7168.7290709631352</v>
      </c>
      <c r="S666" s="626">
        <f t="shared" si="39"/>
        <v>5734.9832567705089</v>
      </c>
      <c r="T666" s="626">
        <f t="shared" si="39"/>
        <v>4587.9866054164067</v>
      </c>
      <c r="U666" s="626">
        <f t="shared" si="39"/>
        <v>3670.3892843331259</v>
      </c>
      <c r="V666" s="626">
        <f>SUM(C666:U666)</f>
        <v>285000</v>
      </c>
    </row>
    <row r="667" spans="1:22" customFormat="1" ht="15" x14ac:dyDescent="0.25">
      <c r="A667" s="101"/>
      <c r="B667" s="551" t="s">
        <v>1106</v>
      </c>
      <c r="C667" s="572">
        <f t="shared" ref="C667:V667" si="40">C567</f>
        <v>3.1748432343933326E-2</v>
      </c>
      <c r="D667" s="572">
        <f t="shared" si="40"/>
        <v>3.6510697195523328E-2</v>
      </c>
      <c r="E667" s="572">
        <f t="shared" si="40"/>
        <v>4.1987301774851826E-2</v>
      </c>
      <c r="F667" s="572">
        <f t="shared" si="40"/>
        <v>4.8285397041079606E-2</v>
      </c>
      <c r="G667" s="572">
        <f t="shared" si="40"/>
        <v>5.5528206597241545E-2</v>
      </c>
      <c r="H667" s="572">
        <f t="shared" si="40"/>
        <v>6.6633847916689845E-2</v>
      </c>
      <c r="I667" s="572">
        <f t="shared" si="40"/>
        <v>7.9960617500027822E-2</v>
      </c>
      <c r="J667" s="572">
        <f t="shared" si="40"/>
        <v>9.5952741000033398E-2</v>
      </c>
      <c r="K667" s="572">
        <f t="shared" si="40"/>
        <v>0.11514328920004008</v>
      </c>
      <c r="L667" s="572">
        <f t="shared" si="40"/>
        <v>9.5952741000033398E-2</v>
      </c>
      <c r="M667" s="572">
        <f t="shared" si="40"/>
        <v>7.6762192800026718E-2</v>
      </c>
      <c r="N667" s="572">
        <f t="shared" si="40"/>
        <v>6.1409754240021375E-2</v>
      </c>
      <c r="O667" s="572">
        <f t="shared" si="40"/>
        <v>4.9127803392017097E-2</v>
      </c>
      <c r="P667" s="572">
        <f t="shared" si="40"/>
        <v>3.9302242713613683E-2</v>
      </c>
      <c r="Q667" s="572">
        <f t="shared" si="40"/>
        <v>3.1441794170890942E-2</v>
      </c>
      <c r="R667" s="572">
        <f t="shared" si="40"/>
        <v>2.5153435336712757E-2</v>
      </c>
      <c r="S667" s="572">
        <f t="shared" si="40"/>
        <v>2.0122748269370206E-2</v>
      </c>
      <c r="T667" s="572">
        <f t="shared" si="40"/>
        <v>1.6098198615496166E-2</v>
      </c>
      <c r="U667" s="572">
        <f t="shared" si="40"/>
        <v>1.2878558892396932E-2</v>
      </c>
      <c r="V667" s="572">
        <f t="shared" si="40"/>
        <v>1</v>
      </c>
    </row>
    <row r="668" spans="1:22" s="629" customFormat="1" ht="15" x14ac:dyDescent="0.25">
      <c r="A668" s="52"/>
      <c r="B668" s="627" t="s">
        <v>1107</v>
      </c>
      <c r="C668" s="571">
        <f>C666*$C$662</f>
        <v>13572454827.031496</v>
      </c>
      <c r="D668" s="628">
        <f t="shared" ref="D668:V668" si="41">D666*$C$662</f>
        <v>15608323051.086222</v>
      </c>
      <c r="E668" s="571">
        <f t="shared" si="41"/>
        <v>17949571508.749157</v>
      </c>
      <c r="F668" s="628">
        <f t="shared" si="41"/>
        <v>20642007235.061531</v>
      </c>
      <c r="G668" s="628">
        <f t="shared" si="41"/>
        <v>23738308320.320759</v>
      </c>
      <c r="H668" s="571">
        <f t="shared" si="41"/>
        <v>28485969984.384907</v>
      </c>
      <c r="I668" s="571">
        <f t="shared" si="41"/>
        <v>34183163981.261894</v>
      </c>
      <c r="J668" s="571">
        <f t="shared" si="41"/>
        <v>41019796777.514275</v>
      </c>
      <c r="K668" s="571">
        <f t="shared" si="41"/>
        <v>49223756133.017128</v>
      </c>
      <c r="L668" s="571">
        <f t="shared" si="41"/>
        <v>41019796777.514275</v>
      </c>
      <c r="M668" s="571">
        <f t="shared" si="41"/>
        <v>32815837422.011421</v>
      </c>
      <c r="N668" s="571">
        <f t="shared" si="41"/>
        <v>26252669937.609138</v>
      </c>
      <c r="O668" s="571">
        <f t="shared" si="41"/>
        <v>21002135950.087311</v>
      </c>
      <c r="P668" s="571">
        <f t="shared" si="41"/>
        <v>16801708760.069849</v>
      </c>
      <c r="Q668" s="571">
        <f t="shared" si="41"/>
        <v>13441367008.055878</v>
      </c>
      <c r="R668" s="571">
        <f t="shared" si="41"/>
        <v>10753093606.444702</v>
      </c>
      <c r="S668" s="571">
        <f t="shared" si="41"/>
        <v>8602474885.1557636</v>
      </c>
      <c r="T668" s="571">
        <f t="shared" si="41"/>
        <v>6881979908.1246099</v>
      </c>
      <c r="U668" s="571">
        <f t="shared" si="41"/>
        <v>5505583926.4996891</v>
      </c>
      <c r="V668" s="571">
        <f t="shared" si="41"/>
        <v>427500000000</v>
      </c>
    </row>
    <row r="669" spans="1:22" customFormat="1" ht="15" x14ac:dyDescent="0.25">
      <c r="A669" s="101"/>
      <c r="B669" s="621" t="s">
        <v>1108</v>
      </c>
      <c r="C669" s="621">
        <f>C668*$C$663</f>
        <v>1017934112.0273621</v>
      </c>
      <c r="D669" s="621">
        <f t="shared" ref="D669:V669" si="42">D668*$C$663</f>
        <v>1170624228.8314667</v>
      </c>
      <c r="E669" s="621">
        <f t="shared" si="42"/>
        <v>1346217863.1561868</v>
      </c>
      <c r="F669" s="621">
        <f t="shared" si="42"/>
        <v>1548150542.6296148</v>
      </c>
      <c r="G669" s="621">
        <f t="shared" si="42"/>
        <v>1780373124.0240569</v>
      </c>
      <c r="H669" s="621">
        <f t="shared" si="42"/>
        <v>2136447748.8288679</v>
      </c>
      <c r="I669" s="621">
        <f t="shared" si="42"/>
        <v>2563737298.5946422</v>
      </c>
      <c r="J669" s="621">
        <f t="shared" si="42"/>
        <v>3076484758.3135705</v>
      </c>
      <c r="K669" s="621">
        <f t="shared" si="42"/>
        <v>3691781709.9762845</v>
      </c>
      <c r="L669" s="621">
        <f t="shared" si="42"/>
        <v>3076484758.3135705</v>
      </c>
      <c r="M669" s="621">
        <f t="shared" si="42"/>
        <v>2461187806.6508565</v>
      </c>
      <c r="N669" s="621">
        <f t="shared" si="42"/>
        <v>1968950245.3206854</v>
      </c>
      <c r="O669" s="621">
        <f t="shared" si="42"/>
        <v>1575160196.2565482</v>
      </c>
      <c r="P669" s="621">
        <f t="shared" si="42"/>
        <v>1260128157.0052385</v>
      </c>
      <c r="Q669" s="621">
        <f t="shared" si="42"/>
        <v>1008102525.6041908</v>
      </c>
      <c r="R669" s="621">
        <f t="shared" si="42"/>
        <v>806482020.48335266</v>
      </c>
      <c r="S669" s="621">
        <f t="shared" si="42"/>
        <v>645185616.38668227</v>
      </c>
      <c r="T669" s="621">
        <f t="shared" si="42"/>
        <v>516148493.10934573</v>
      </c>
      <c r="U669" s="621">
        <f t="shared" si="42"/>
        <v>412918794.48747665</v>
      </c>
      <c r="V669" s="621">
        <f t="shared" si="42"/>
        <v>32062500000</v>
      </c>
    </row>
    <row r="670" spans="1:22" customFormat="1" ht="15" x14ac:dyDescent="0.25">
      <c r="A670" s="101"/>
      <c r="B670" s="25"/>
      <c r="C670" s="25"/>
      <c r="D670" s="630"/>
      <c r="E670" s="631"/>
      <c r="F670" s="630"/>
      <c r="G670" s="630"/>
      <c r="H670" s="631"/>
      <c r="I670" s="631"/>
      <c r="J670" s="631"/>
      <c r="K670" s="631"/>
      <c r="L670" s="631"/>
      <c r="M670" s="631"/>
      <c r="N670" s="631"/>
      <c r="O670" s="631"/>
      <c r="P670" s="631"/>
      <c r="Q670" s="631"/>
      <c r="R670" s="631"/>
      <c r="S670" s="631"/>
      <c r="T670" s="631"/>
      <c r="U670" s="631"/>
      <c r="V670" s="631"/>
    </row>
    <row r="671" spans="1:22" customFormat="1" ht="15" x14ac:dyDescent="0.25">
      <c r="A671" s="101"/>
      <c r="B671" s="25"/>
      <c r="C671" s="25"/>
      <c r="D671" s="630"/>
      <c r="E671" s="631"/>
      <c r="F671" s="630"/>
      <c r="G671" s="630"/>
      <c r="H671" s="631"/>
      <c r="I671" s="631"/>
      <c r="J671" s="631"/>
      <c r="K671" s="631"/>
      <c r="L671" s="631"/>
      <c r="M671" s="631"/>
      <c r="N671" s="631"/>
      <c r="O671" s="631"/>
      <c r="P671" s="631"/>
      <c r="Q671" s="631"/>
      <c r="R671" s="631"/>
      <c r="S671" s="631"/>
      <c r="T671" s="631"/>
      <c r="U671" s="631"/>
      <c r="V671" s="631"/>
    </row>
    <row r="672" spans="1:22" ht="15" x14ac:dyDescent="0.25">
      <c r="B672" s="497" t="s">
        <v>1121</v>
      </c>
      <c r="C672" s="25"/>
      <c r="D672" s="25"/>
      <c r="E672" s="25"/>
      <c r="F672" s="525"/>
      <c r="G672" s="25"/>
      <c r="H672" s="25"/>
    </row>
    <row r="673" spans="1:22" x14ac:dyDescent="0.2">
      <c r="B673" s="548" t="s">
        <v>1004</v>
      </c>
      <c r="C673" s="50">
        <v>38004</v>
      </c>
      <c r="D673" s="25"/>
      <c r="E673" s="25"/>
      <c r="F673" s="525"/>
      <c r="G673" s="25"/>
      <c r="H673" s="25"/>
    </row>
    <row r="674" spans="1:22" ht="45" x14ac:dyDescent="0.2">
      <c r="B674" s="637" t="s">
        <v>1005</v>
      </c>
      <c r="C674" s="638" t="s">
        <v>1006</v>
      </c>
      <c r="D674" s="638" t="s">
        <v>1007</v>
      </c>
      <c r="E674" s="638" t="s">
        <v>1122</v>
      </c>
      <c r="F674" s="638" t="s">
        <v>1123</v>
      </c>
      <c r="G674" s="638" t="s">
        <v>1124</v>
      </c>
      <c r="H674" s="638" t="s">
        <v>1125</v>
      </c>
    </row>
    <row r="675" spans="1:22" ht="15" x14ac:dyDescent="0.2">
      <c r="B675" s="551" t="s">
        <v>1012</v>
      </c>
      <c r="C675" s="552">
        <v>23563</v>
      </c>
      <c r="D675" s="553">
        <f>+C673*C675</f>
        <v>895488252</v>
      </c>
      <c r="E675" s="554">
        <v>0.03</v>
      </c>
      <c r="F675" s="50">
        <f>+D675*E675</f>
        <v>26864647.559999999</v>
      </c>
      <c r="G675" s="554">
        <v>0.4</v>
      </c>
      <c r="H675" s="622">
        <f>F675*G675</f>
        <v>10745859.024</v>
      </c>
    </row>
    <row r="676" spans="1:22" ht="15" x14ac:dyDescent="0.2">
      <c r="B676" s="556" t="s">
        <v>1013</v>
      </c>
      <c r="C676" s="552">
        <v>204995</v>
      </c>
      <c r="D676" s="553">
        <f>+C673*C676</f>
        <v>7790629980</v>
      </c>
      <c r="E676" s="554">
        <v>0.02</v>
      </c>
      <c r="F676" s="50">
        <f>+D676*E676</f>
        <v>155812599.59999999</v>
      </c>
      <c r="G676" s="554">
        <v>0.25</v>
      </c>
      <c r="H676" s="622">
        <f>F676*G676</f>
        <v>38953149.899999999</v>
      </c>
    </row>
    <row r="677" spans="1:22" ht="15" x14ac:dyDescent="0.2">
      <c r="B677" s="551" t="s">
        <v>1014</v>
      </c>
      <c r="C677" s="552">
        <v>1736565</v>
      </c>
      <c r="D677" s="553">
        <f>+C673*C677</f>
        <v>65996416260</v>
      </c>
      <c r="E677" s="639">
        <v>5.0000000000000001E-3</v>
      </c>
      <c r="F677" s="50">
        <f>+D677*E677</f>
        <v>329982081.30000001</v>
      </c>
      <c r="G677" s="554">
        <v>0.2</v>
      </c>
      <c r="H677" s="622">
        <f>F677*G677</f>
        <v>65996416.260000005</v>
      </c>
    </row>
    <row r="679" spans="1:22" x14ac:dyDescent="0.2">
      <c r="B679" s="538"/>
      <c r="C679" s="538"/>
      <c r="D679" s="538"/>
      <c r="E679" s="538"/>
      <c r="F679" s="538"/>
      <c r="G679" s="538"/>
      <c r="H679" s="538"/>
      <c r="I679" s="538"/>
      <c r="J679" s="538"/>
      <c r="K679" s="538"/>
      <c r="L679" s="538"/>
      <c r="M679" s="538"/>
      <c r="N679" s="538"/>
      <c r="O679" s="538"/>
      <c r="P679" s="538"/>
      <c r="Q679" s="538"/>
      <c r="R679" s="538"/>
    </row>
    <row r="680" spans="1:22" ht="15" x14ac:dyDescent="0.25">
      <c r="B680" s="591" t="s">
        <v>1109</v>
      </c>
      <c r="C680" s="538"/>
      <c r="D680" s="538"/>
    </row>
    <row r="681" spans="1:22" x14ac:dyDescent="0.2">
      <c r="B681" s="54" t="s">
        <v>1100</v>
      </c>
      <c r="C681" s="535">
        <v>950000</v>
      </c>
    </row>
    <row r="682" spans="1:22" x14ac:dyDescent="0.2">
      <c r="B682" s="54" t="s">
        <v>1110</v>
      </c>
      <c r="C682" s="593">
        <v>0.05</v>
      </c>
    </row>
    <row r="683" spans="1:22" x14ac:dyDescent="0.2">
      <c r="B683" s="54" t="s">
        <v>1102</v>
      </c>
      <c r="C683" s="535">
        <f>+C681*C682</f>
        <v>47500</v>
      </c>
    </row>
    <row r="684" spans="1:22" x14ac:dyDescent="0.2">
      <c r="B684" s="632"/>
      <c r="C684" s="537"/>
    </row>
    <row r="685" spans="1:22" customFormat="1" ht="15" x14ac:dyDescent="0.25">
      <c r="A685" s="101"/>
      <c r="B685" s="25"/>
      <c r="C685" s="25"/>
      <c r="D685" s="630"/>
      <c r="E685" s="631"/>
      <c r="F685" s="630"/>
      <c r="G685" s="630"/>
      <c r="H685" s="631"/>
      <c r="I685" s="631"/>
      <c r="J685" s="631"/>
      <c r="K685" s="631"/>
      <c r="L685" s="631"/>
      <c r="M685" s="631"/>
      <c r="N685" s="631"/>
      <c r="O685" s="631"/>
      <c r="P685" s="631"/>
      <c r="Q685" s="631"/>
      <c r="R685" s="631"/>
      <c r="S685" s="631"/>
      <c r="T685" s="631"/>
      <c r="U685" s="631"/>
      <c r="V685" s="631"/>
    </row>
    <row r="686" spans="1:22" ht="15" x14ac:dyDescent="0.25">
      <c r="B686" s="621" t="s">
        <v>1111</v>
      </c>
      <c r="C686" s="622">
        <f>2150*C297</f>
        <v>8134123.666666667</v>
      </c>
      <c r="D686" s="585" t="s">
        <v>1112</v>
      </c>
      <c r="E686" s="585" t="s">
        <v>1054</v>
      </c>
      <c r="F686" s="585" t="s">
        <v>1055</v>
      </c>
    </row>
    <row r="687" spans="1:22" ht="15" x14ac:dyDescent="0.25">
      <c r="B687" s="410" t="s">
        <v>1113</v>
      </c>
      <c r="C687" s="633">
        <v>0.3</v>
      </c>
      <c r="D687" s="573">
        <v>0.5</v>
      </c>
      <c r="E687" s="593">
        <v>0.3</v>
      </c>
      <c r="F687" s="593">
        <v>0.2</v>
      </c>
    </row>
    <row r="688" spans="1:22" ht="15" x14ac:dyDescent="0.25">
      <c r="B688" s="411" t="s">
        <v>1114</v>
      </c>
      <c r="C688" s="634">
        <v>0.2</v>
      </c>
    </row>
    <row r="689" spans="1:22" s="102" customFormat="1" ht="15" x14ac:dyDescent="0.2">
      <c r="B689" s="101" t="s">
        <v>1115</v>
      </c>
      <c r="C689" s="635"/>
    </row>
    <row r="690" spans="1:22" s="102" customFormat="1" ht="15" x14ac:dyDescent="0.2">
      <c r="B690" s="101"/>
      <c r="C690" s="635"/>
    </row>
    <row r="691" spans="1:22" ht="14.45" customHeight="1" x14ac:dyDescent="0.25">
      <c r="B691" s="403" t="s">
        <v>598</v>
      </c>
      <c r="C691" s="402">
        <v>2</v>
      </c>
      <c r="D691" s="402">
        <v>3</v>
      </c>
      <c r="E691" s="402">
        <v>4</v>
      </c>
      <c r="F691" s="402">
        <v>5</v>
      </c>
      <c r="G691" s="402">
        <v>6</v>
      </c>
      <c r="H691" s="402">
        <v>7</v>
      </c>
      <c r="I691" s="402">
        <v>8</v>
      </c>
      <c r="J691" s="402">
        <v>9</v>
      </c>
      <c r="K691" s="402">
        <v>10</v>
      </c>
      <c r="L691" s="402">
        <v>11</v>
      </c>
      <c r="M691" s="402">
        <v>12</v>
      </c>
      <c r="N691" s="402">
        <v>13</v>
      </c>
      <c r="O691" s="402">
        <v>14</v>
      </c>
      <c r="P691" s="402">
        <v>15</v>
      </c>
      <c r="Q691" s="402">
        <v>16</v>
      </c>
      <c r="R691" s="402">
        <v>17</v>
      </c>
      <c r="S691" s="402">
        <v>18</v>
      </c>
      <c r="T691" s="402">
        <v>19</v>
      </c>
      <c r="U691" s="402">
        <v>20</v>
      </c>
      <c r="V691" s="402" t="s">
        <v>32</v>
      </c>
    </row>
    <row r="692" spans="1:22" customFormat="1" ht="15" x14ac:dyDescent="0.25">
      <c r="A692" s="101"/>
      <c r="B692" s="551" t="s">
        <v>1106</v>
      </c>
      <c r="C692" s="636">
        <f t="shared" ref="C692:V692" si="43">C567</f>
        <v>3.1748432343933326E-2</v>
      </c>
      <c r="D692" s="636">
        <f t="shared" si="43"/>
        <v>3.6510697195523328E-2</v>
      </c>
      <c r="E692" s="636">
        <f t="shared" si="43"/>
        <v>4.1987301774851826E-2</v>
      </c>
      <c r="F692" s="636">
        <f t="shared" si="43"/>
        <v>4.8285397041079606E-2</v>
      </c>
      <c r="G692" s="636">
        <f t="shared" si="43"/>
        <v>5.5528206597241545E-2</v>
      </c>
      <c r="H692" s="636">
        <f t="shared" si="43"/>
        <v>6.6633847916689845E-2</v>
      </c>
      <c r="I692" s="636">
        <f t="shared" si="43"/>
        <v>7.9960617500027822E-2</v>
      </c>
      <c r="J692" s="636">
        <f t="shared" si="43"/>
        <v>9.5952741000033398E-2</v>
      </c>
      <c r="K692" s="636">
        <f t="shared" si="43"/>
        <v>0.11514328920004008</v>
      </c>
      <c r="L692" s="636">
        <f t="shared" si="43"/>
        <v>9.5952741000033398E-2</v>
      </c>
      <c r="M692" s="636">
        <f t="shared" si="43"/>
        <v>7.6762192800026718E-2</v>
      </c>
      <c r="N692" s="636">
        <f t="shared" si="43"/>
        <v>6.1409754240021375E-2</v>
      </c>
      <c r="O692" s="636">
        <f t="shared" si="43"/>
        <v>4.9127803392017097E-2</v>
      </c>
      <c r="P692" s="636">
        <f t="shared" si="43"/>
        <v>3.9302242713613683E-2</v>
      </c>
      <c r="Q692" s="636">
        <f t="shared" si="43"/>
        <v>3.1441794170890942E-2</v>
      </c>
      <c r="R692" s="636">
        <f t="shared" si="43"/>
        <v>2.5153435336712757E-2</v>
      </c>
      <c r="S692" s="636">
        <f t="shared" si="43"/>
        <v>2.0122748269370206E-2</v>
      </c>
      <c r="T692" s="636">
        <f t="shared" si="43"/>
        <v>1.6098198615496166E-2</v>
      </c>
      <c r="U692" s="636">
        <f t="shared" si="43"/>
        <v>1.2878558892396932E-2</v>
      </c>
      <c r="V692" s="636">
        <f t="shared" si="43"/>
        <v>1</v>
      </c>
    </row>
    <row r="693" spans="1:22" customFormat="1" ht="15" x14ac:dyDescent="0.25">
      <c r="A693" s="101"/>
      <c r="B693" s="626" t="s">
        <v>1116</v>
      </c>
      <c r="C693" s="626">
        <f t="shared" ref="C693:V693" si="44">$C$683*C692</f>
        <v>1508.0505363368329</v>
      </c>
      <c r="D693" s="626">
        <f t="shared" si="44"/>
        <v>1734.2581167873582</v>
      </c>
      <c r="E693" s="626">
        <f t="shared" si="44"/>
        <v>1994.3968343054617</v>
      </c>
      <c r="F693" s="626">
        <f t="shared" si="44"/>
        <v>2293.5563594512814</v>
      </c>
      <c r="G693" s="626">
        <f t="shared" si="44"/>
        <v>2637.5898133689734</v>
      </c>
      <c r="H693" s="626">
        <f t="shared" si="44"/>
        <v>3165.1077760427675</v>
      </c>
      <c r="I693" s="626">
        <f t="shared" si="44"/>
        <v>3798.1293312513217</v>
      </c>
      <c r="J693" s="626">
        <f t="shared" si="44"/>
        <v>4557.7551975015867</v>
      </c>
      <c r="K693" s="626">
        <f t="shared" si="44"/>
        <v>5469.3062370019034</v>
      </c>
      <c r="L693" s="626">
        <f t="shared" si="44"/>
        <v>4557.7551975015867</v>
      </c>
      <c r="M693" s="626">
        <f t="shared" si="44"/>
        <v>3646.2041580012692</v>
      </c>
      <c r="N693" s="626">
        <f t="shared" si="44"/>
        <v>2916.9633264010154</v>
      </c>
      <c r="O693" s="626">
        <f t="shared" si="44"/>
        <v>2333.570661120812</v>
      </c>
      <c r="P693" s="626">
        <f t="shared" si="44"/>
        <v>1866.8565288966499</v>
      </c>
      <c r="Q693" s="626">
        <f t="shared" si="44"/>
        <v>1493.4852231173197</v>
      </c>
      <c r="R693" s="626">
        <f t="shared" si="44"/>
        <v>1194.7881784938559</v>
      </c>
      <c r="S693" s="626">
        <f t="shared" si="44"/>
        <v>955.83054279508474</v>
      </c>
      <c r="T693" s="626">
        <f t="shared" si="44"/>
        <v>764.6644342360679</v>
      </c>
      <c r="U693" s="626">
        <f t="shared" si="44"/>
        <v>611.73154738885432</v>
      </c>
      <c r="V693" s="626">
        <f t="shared" si="44"/>
        <v>47500</v>
      </c>
    </row>
    <row r="694" spans="1:22" ht="15" x14ac:dyDescent="0.25">
      <c r="B694" s="410" t="s">
        <v>1117</v>
      </c>
      <c r="C694" s="410">
        <f t="shared" ref="C694:V694" si="45">C693*$D$687</f>
        <v>754.02526816841646</v>
      </c>
      <c r="D694" s="410">
        <f t="shared" si="45"/>
        <v>867.12905839367909</v>
      </c>
      <c r="E694" s="410">
        <f t="shared" si="45"/>
        <v>997.19841715273083</v>
      </c>
      <c r="F694" s="410">
        <f t="shared" si="45"/>
        <v>1146.7781797256407</v>
      </c>
      <c r="G694" s="410">
        <f t="shared" si="45"/>
        <v>1318.7949066844867</v>
      </c>
      <c r="H694" s="410">
        <f t="shared" si="45"/>
        <v>1582.5538880213837</v>
      </c>
      <c r="I694" s="410">
        <f t="shared" si="45"/>
        <v>1899.0646656256608</v>
      </c>
      <c r="J694" s="410">
        <f t="shared" si="45"/>
        <v>2278.8775987507934</v>
      </c>
      <c r="K694" s="410">
        <f t="shared" si="45"/>
        <v>2734.6531185009517</v>
      </c>
      <c r="L694" s="410">
        <f t="shared" si="45"/>
        <v>2278.8775987507934</v>
      </c>
      <c r="M694" s="410">
        <f t="shared" si="45"/>
        <v>1823.1020790006346</v>
      </c>
      <c r="N694" s="410">
        <f t="shared" si="45"/>
        <v>1458.4816632005077</v>
      </c>
      <c r="O694" s="410">
        <f t="shared" si="45"/>
        <v>1166.785330560406</v>
      </c>
      <c r="P694" s="410">
        <f t="shared" si="45"/>
        <v>933.42826444832497</v>
      </c>
      <c r="Q694" s="410">
        <f t="shared" si="45"/>
        <v>746.74261155865986</v>
      </c>
      <c r="R694" s="410">
        <f t="shared" si="45"/>
        <v>597.39408924692793</v>
      </c>
      <c r="S694" s="410">
        <f t="shared" si="45"/>
        <v>477.91527139754237</v>
      </c>
      <c r="T694" s="410">
        <f t="shared" si="45"/>
        <v>382.33221711803395</v>
      </c>
      <c r="U694" s="410">
        <f t="shared" si="45"/>
        <v>305.86577369442716</v>
      </c>
      <c r="V694" s="410">
        <f t="shared" si="45"/>
        <v>23750</v>
      </c>
    </row>
    <row r="695" spans="1:22" ht="15" x14ac:dyDescent="0.25">
      <c r="B695" s="411" t="s">
        <v>1118</v>
      </c>
      <c r="C695" s="411">
        <f t="shared" ref="C695:V695" si="46">C693*$E$687</f>
        <v>452.41516090104989</v>
      </c>
      <c r="D695" s="411">
        <f t="shared" si="46"/>
        <v>520.27743503620741</v>
      </c>
      <c r="E695" s="411">
        <f t="shared" si="46"/>
        <v>598.31905029163852</v>
      </c>
      <c r="F695" s="411">
        <f t="shared" si="46"/>
        <v>688.06690783538443</v>
      </c>
      <c r="G695" s="411">
        <f t="shared" si="46"/>
        <v>791.27694401069198</v>
      </c>
      <c r="H695" s="411">
        <f t="shared" si="46"/>
        <v>949.53233281283019</v>
      </c>
      <c r="I695" s="411">
        <f t="shared" si="46"/>
        <v>1139.4387993753965</v>
      </c>
      <c r="J695" s="411">
        <f t="shared" si="46"/>
        <v>1367.3265592504761</v>
      </c>
      <c r="K695" s="411">
        <f t="shared" si="46"/>
        <v>1640.7918711005709</v>
      </c>
      <c r="L695" s="411">
        <f t="shared" si="46"/>
        <v>1367.3265592504761</v>
      </c>
      <c r="M695" s="411">
        <f t="shared" si="46"/>
        <v>1093.8612474003808</v>
      </c>
      <c r="N695" s="411">
        <f t="shared" si="46"/>
        <v>875.08899792030456</v>
      </c>
      <c r="O695" s="411">
        <f t="shared" si="46"/>
        <v>700.07119833624358</v>
      </c>
      <c r="P695" s="411">
        <f t="shared" si="46"/>
        <v>560.05695866899498</v>
      </c>
      <c r="Q695" s="411">
        <f t="shared" si="46"/>
        <v>448.04556693519589</v>
      </c>
      <c r="R695" s="411">
        <f t="shared" si="46"/>
        <v>358.43645354815675</v>
      </c>
      <c r="S695" s="411">
        <f t="shared" si="46"/>
        <v>286.74916283852542</v>
      </c>
      <c r="T695" s="411">
        <f t="shared" si="46"/>
        <v>229.39933027082037</v>
      </c>
      <c r="U695" s="411">
        <f t="shared" si="46"/>
        <v>183.5194642166563</v>
      </c>
      <c r="V695" s="411">
        <f t="shared" si="46"/>
        <v>14250</v>
      </c>
    </row>
    <row r="696" spans="1:22" customFormat="1" ht="15" x14ac:dyDescent="0.25">
      <c r="A696" s="101"/>
      <c r="B696" s="410" t="s">
        <v>1119</v>
      </c>
      <c r="C696" s="410">
        <f t="shared" ref="C696:V696" si="47">$C$686*$C$687*C694</f>
        <v>1840000433.722019</v>
      </c>
      <c r="D696" s="410">
        <f t="shared" si="47"/>
        <v>2116000498.7803223</v>
      </c>
      <c r="E696" s="410">
        <f t="shared" si="47"/>
        <v>2433400573.5973701</v>
      </c>
      <c r="F696" s="410">
        <f t="shared" si="47"/>
        <v>2798410659.6369762</v>
      </c>
      <c r="G696" s="410">
        <f t="shared" si="47"/>
        <v>3218172258.5825224</v>
      </c>
      <c r="H696" s="410">
        <f t="shared" si="47"/>
        <v>3861806710.2990265</v>
      </c>
      <c r="I696" s="410">
        <f t="shared" si="47"/>
        <v>4634168052.3588324</v>
      </c>
      <c r="J696" s="410">
        <f t="shared" si="47"/>
        <v>5561001662.8305998</v>
      </c>
      <c r="K696" s="410">
        <f t="shared" si="47"/>
        <v>6673201995.396719</v>
      </c>
      <c r="L696" s="410">
        <f t="shared" si="47"/>
        <v>5561001662.8305998</v>
      </c>
      <c r="M696" s="410">
        <f t="shared" si="47"/>
        <v>4448801330.2644796</v>
      </c>
      <c r="N696" s="410">
        <f t="shared" si="47"/>
        <v>3559041064.2115836</v>
      </c>
      <c r="O696" s="410">
        <f t="shared" si="47"/>
        <v>2847232851.3692665</v>
      </c>
      <c r="P696" s="410">
        <f t="shared" si="47"/>
        <v>2277786281.0954137</v>
      </c>
      <c r="Q696" s="410">
        <f t="shared" si="47"/>
        <v>1822229024.8763306</v>
      </c>
      <c r="R696" s="410">
        <f t="shared" si="47"/>
        <v>1457783219.9010646</v>
      </c>
      <c r="S696" s="410">
        <f t="shared" si="47"/>
        <v>1166226575.9208517</v>
      </c>
      <c r="T696" s="410">
        <f t="shared" si="47"/>
        <v>932981260.73668158</v>
      </c>
      <c r="U696" s="410">
        <f t="shared" si="47"/>
        <v>746385008.58934522</v>
      </c>
      <c r="V696" s="410">
        <f t="shared" si="47"/>
        <v>57955631125</v>
      </c>
    </row>
    <row r="697" spans="1:22" customFormat="1" ht="15" x14ac:dyDescent="0.25">
      <c r="A697" s="101"/>
      <c r="B697" s="411" t="s">
        <v>1120</v>
      </c>
      <c r="C697" s="411">
        <f t="shared" ref="C697:V697" si="48">$C$686*$C$688*C695</f>
        <v>736000173.48880756</v>
      </c>
      <c r="D697" s="411">
        <f t="shared" si="48"/>
        <v>846400199.51212883</v>
      </c>
      <c r="E697" s="411">
        <f t="shared" si="48"/>
        <v>973360229.43894815</v>
      </c>
      <c r="F697" s="411">
        <f t="shared" si="48"/>
        <v>1119364263.8547904</v>
      </c>
      <c r="G697" s="411">
        <f t="shared" si="48"/>
        <v>1287268903.4330089</v>
      </c>
      <c r="H697" s="411">
        <f t="shared" si="48"/>
        <v>1544722684.1196105</v>
      </c>
      <c r="I697" s="411">
        <f t="shared" si="48"/>
        <v>1853667220.9435329</v>
      </c>
      <c r="J697" s="411">
        <f t="shared" si="48"/>
        <v>2224400665.1322398</v>
      </c>
      <c r="K697" s="411">
        <f t="shared" si="48"/>
        <v>2669280798.1586876</v>
      </c>
      <c r="L697" s="411">
        <f t="shared" si="48"/>
        <v>2224400665.1322398</v>
      </c>
      <c r="M697" s="411">
        <f t="shared" si="48"/>
        <v>1779520532.1057918</v>
      </c>
      <c r="N697" s="411">
        <f t="shared" si="48"/>
        <v>1423616425.6846335</v>
      </c>
      <c r="O697" s="411">
        <f t="shared" si="48"/>
        <v>1138893140.5477066</v>
      </c>
      <c r="P697" s="411">
        <f t="shared" si="48"/>
        <v>911114512.43816543</v>
      </c>
      <c r="Q697" s="411">
        <f t="shared" si="48"/>
        <v>728891609.9505322</v>
      </c>
      <c r="R697" s="411">
        <f t="shared" si="48"/>
        <v>583113287.96042585</v>
      </c>
      <c r="S697" s="411">
        <f t="shared" si="48"/>
        <v>466490630.36834073</v>
      </c>
      <c r="T697" s="411">
        <f t="shared" si="48"/>
        <v>373192504.29467261</v>
      </c>
      <c r="U697" s="411">
        <f t="shared" si="48"/>
        <v>298554003.43573809</v>
      </c>
      <c r="V697" s="411">
        <f t="shared" si="48"/>
        <v>23182252450</v>
      </c>
    </row>
    <row r="698" spans="1:22" ht="15" x14ac:dyDescent="0.25">
      <c r="B698" s="640" t="s">
        <v>1126</v>
      </c>
      <c r="C698" s="641"/>
      <c r="D698" s="538"/>
      <c r="E698" s="538"/>
      <c r="F698" s="538"/>
      <c r="G698" s="538"/>
      <c r="H698" s="538"/>
      <c r="I698" s="538"/>
      <c r="J698" s="538"/>
    </row>
    <row r="699" spans="1:22" x14ac:dyDescent="0.2">
      <c r="B699" s="641" t="s">
        <v>1127</v>
      </c>
      <c r="C699" s="51">
        <v>70000000</v>
      </c>
      <c r="D699" s="538"/>
      <c r="E699" s="538"/>
      <c r="F699" s="538"/>
      <c r="G699" s="538"/>
      <c r="H699" s="538"/>
      <c r="I699" s="538"/>
      <c r="J699" s="538"/>
    </row>
    <row r="700" spans="1:22" x14ac:dyDescent="0.2">
      <c r="B700" s="641" t="s">
        <v>1128</v>
      </c>
      <c r="C700" s="641">
        <v>30</v>
      </c>
      <c r="D700" s="538"/>
      <c r="E700" s="538"/>
      <c r="F700" s="538"/>
      <c r="G700" s="538"/>
      <c r="H700" s="538"/>
      <c r="I700" s="538"/>
      <c r="J700" s="538"/>
    </row>
    <row r="701" spans="1:22" ht="15" x14ac:dyDescent="0.2">
      <c r="B701" s="641" t="s">
        <v>1129</v>
      </c>
      <c r="C701" s="622">
        <f>C699*30%</f>
        <v>21000000</v>
      </c>
      <c r="D701" s="538"/>
      <c r="E701" s="538"/>
      <c r="F701" s="538"/>
      <c r="G701" s="538"/>
      <c r="H701" s="538"/>
      <c r="I701" s="538"/>
      <c r="J701" s="538"/>
    </row>
    <row r="702" spans="1:22" x14ac:dyDescent="0.2">
      <c r="B702" s="538"/>
      <c r="C702" s="538"/>
      <c r="D702" s="538"/>
      <c r="E702" s="538"/>
      <c r="F702" s="538"/>
      <c r="G702" s="538"/>
      <c r="H702" s="538"/>
      <c r="I702" s="538"/>
      <c r="J702" s="538"/>
    </row>
    <row r="703" spans="1:22" ht="15" x14ac:dyDescent="0.25">
      <c r="B703" s="640" t="s">
        <v>1130</v>
      </c>
      <c r="C703" s="642">
        <v>50000</v>
      </c>
      <c r="D703" s="538"/>
      <c r="E703" s="538"/>
      <c r="F703" s="538"/>
      <c r="G703" s="538"/>
      <c r="H703" s="538"/>
      <c r="I703" s="538"/>
      <c r="J703" s="538"/>
    </row>
    <row r="704" spans="1:22" ht="15" x14ac:dyDescent="0.2">
      <c r="B704" s="641" t="s">
        <v>1131</v>
      </c>
      <c r="C704" s="622">
        <f>C703*50%</f>
        <v>25000</v>
      </c>
      <c r="D704" s="538"/>
      <c r="E704" s="538"/>
      <c r="F704" s="538"/>
      <c r="G704" s="538"/>
      <c r="H704" s="538"/>
      <c r="I704" s="538"/>
      <c r="J704" s="538"/>
    </row>
    <row r="705" spans="2:18" x14ac:dyDescent="0.2">
      <c r="B705" s="538"/>
      <c r="C705" s="538"/>
      <c r="D705" s="538"/>
      <c r="E705" s="538"/>
      <c r="F705" s="538"/>
      <c r="G705" s="538"/>
      <c r="H705" s="538"/>
      <c r="I705" s="538"/>
      <c r="J705" s="538"/>
    </row>
    <row r="706" spans="2:18" s="102" customFormat="1" ht="15" x14ac:dyDescent="0.25">
      <c r="B706" s="49"/>
      <c r="D706" s="643"/>
    </row>
    <row r="707" spans="2:18" ht="15" x14ac:dyDescent="0.25">
      <c r="B707" s="640" t="s">
        <v>1132</v>
      </c>
      <c r="C707" s="538"/>
      <c r="D707" s="538"/>
      <c r="E707" s="538"/>
      <c r="F707" s="538"/>
      <c r="G707" s="538"/>
      <c r="H707" s="538"/>
      <c r="I707" s="538"/>
      <c r="J707" s="538"/>
    </row>
    <row r="708" spans="2:18" ht="15" x14ac:dyDescent="0.2">
      <c r="B708" s="641" t="s">
        <v>1133</v>
      </c>
      <c r="C708" s="622">
        <v>300000</v>
      </c>
      <c r="D708" s="538"/>
      <c r="E708" s="538"/>
      <c r="F708" s="538"/>
      <c r="G708" s="538"/>
      <c r="H708" s="538"/>
      <c r="I708" s="538"/>
      <c r="J708" s="538"/>
    </row>
    <row r="709" spans="2:18" x14ac:dyDescent="0.2">
      <c r="B709" s="644"/>
      <c r="C709" s="645"/>
      <c r="D709" s="538"/>
      <c r="E709" s="538"/>
      <c r="F709" s="538"/>
      <c r="G709" s="538"/>
      <c r="H709" s="538"/>
      <c r="I709" s="538"/>
      <c r="J709" s="538"/>
    </row>
    <row r="710" spans="2:18" ht="15" x14ac:dyDescent="0.25">
      <c r="B710" s="640" t="s">
        <v>1134</v>
      </c>
      <c r="C710" s="646"/>
      <c r="D710" s="538"/>
      <c r="E710" s="538"/>
      <c r="F710" s="538"/>
      <c r="G710" s="538"/>
      <c r="H710" s="538"/>
      <c r="I710" s="538"/>
      <c r="J710" s="538"/>
    </row>
    <row r="711" spans="2:18" x14ac:dyDescent="0.2">
      <c r="B711" s="646" t="s">
        <v>1135</v>
      </c>
      <c r="C711" s="647">
        <v>50000</v>
      </c>
      <c r="D711" s="538"/>
      <c r="E711" s="538"/>
      <c r="F711" s="538"/>
      <c r="G711" s="538"/>
      <c r="H711" s="538"/>
      <c r="I711" s="538"/>
      <c r="J711" s="538"/>
    </row>
    <row r="712" spans="2:18" ht="15" x14ac:dyDescent="0.2">
      <c r="B712" s="646" t="s">
        <v>1135</v>
      </c>
      <c r="C712" s="622">
        <v>600000</v>
      </c>
      <c r="D712" s="538"/>
      <c r="E712" s="538"/>
      <c r="F712" s="538"/>
      <c r="G712" s="538"/>
      <c r="H712" s="538"/>
      <c r="I712" s="538"/>
      <c r="J712" s="538"/>
    </row>
    <row r="713" spans="2:18" x14ac:dyDescent="0.2">
      <c r="D713" s="538"/>
      <c r="E713" s="538"/>
      <c r="F713" s="538"/>
      <c r="G713" s="538"/>
      <c r="H713" s="538"/>
      <c r="I713" s="538"/>
      <c r="J713" s="538"/>
    </row>
    <row r="714" spans="2:18" s="102" customFormat="1" ht="29.1" customHeight="1" x14ac:dyDescent="0.25">
      <c r="B714" s="653"/>
      <c r="C714" s="529"/>
      <c r="D714" s="529"/>
      <c r="E714" s="529"/>
      <c r="F714" s="529"/>
      <c r="G714" s="529"/>
      <c r="H714" s="529"/>
      <c r="I714" s="529"/>
      <c r="J714" s="529"/>
      <c r="K714" s="529"/>
      <c r="L714" s="529"/>
      <c r="M714" s="529"/>
      <c r="N714" s="529"/>
      <c r="O714" s="529"/>
      <c r="P714" s="529"/>
      <c r="Q714" s="529"/>
      <c r="R714" s="529"/>
    </row>
    <row r="715" spans="2:18" ht="15" x14ac:dyDescent="0.25">
      <c r="B715" s="687" t="s">
        <v>1145</v>
      </c>
      <c r="C715" s="25"/>
      <c r="D715" s="25"/>
      <c r="E715" s="25"/>
      <c r="F715" s="525"/>
      <c r="G715" s="25"/>
      <c r="H715" s="25"/>
      <c r="I715" s="688"/>
      <c r="J715" s="688"/>
      <c r="K715" s="25"/>
      <c r="L715" s="25"/>
      <c r="M715" s="25"/>
      <c r="N715" s="25"/>
      <c r="O715" s="25"/>
      <c r="P715" s="25"/>
      <c r="Q715" s="25"/>
      <c r="R715" s="25"/>
    </row>
    <row r="716" spans="2:18" x14ac:dyDescent="0.2">
      <c r="B716" s="548" t="s">
        <v>1004</v>
      </c>
      <c r="C716" s="50">
        <f>C673</f>
        <v>38004</v>
      </c>
      <c r="D716" s="25"/>
      <c r="E716" s="25"/>
      <c r="F716" s="525"/>
      <c r="G716" s="25"/>
      <c r="H716" s="25"/>
      <c r="I716" s="688"/>
      <c r="J716" s="688"/>
      <c r="K716" s="25"/>
      <c r="L716" s="25"/>
      <c r="M716" s="25"/>
      <c r="N716" s="25"/>
      <c r="O716" s="25"/>
      <c r="P716" s="25"/>
      <c r="Q716" s="25"/>
      <c r="R716" s="25"/>
    </row>
    <row r="717" spans="2:18" ht="30" x14ac:dyDescent="0.2">
      <c r="B717" s="549" t="s">
        <v>1005</v>
      </c>
      <c r="C717" s="601" t="s">
        <v>1006</v>
      </c>
      <c r="D717" s="601" t="s">
        <v>1007</v>
      </c>
      <c r="E717" s="601" t="s">
        <v>1096</v>
      </c>
      <c r="F717" s="601" t="s">
        <v>1097</v>
      </c>
      <c r="G717" s="601" t="s">
        <v>1098</v>
      </c>
      <c r="H717" s="601" t="s">
        <v>1011</v>
      </c>
      <c r="I717" s="688"/>
      <c r="J717" s="688"/>
      <c r="K717" s="25"/>
      <c r="L717" s="25"/>
      <c r="M717" s="25"/>
      <c r="N717" s="25"/>
      <c r="O717" s="25"/>
      <c r="P717" s="25"/>
      <c r="Q717" s="25"/>
      <c r="R717" s="25"/>
    </row>
    <row r="718" spans="2:18" x14ac:dyDescent="0.2">
      <c r="B718" s="551" t="s">
        <v>1012</v>
      </c>
      <c r="C718" s="552">
        <v>23563</v>
      </c>
      <c r="D718" s="553">
        <f>C716*C718</f>
        <v>895488252</v>
      </c>
      <c r="E718" s="554">
        <v>0.1</v>
      </c>
      <c r="F718" s="50">
        <f>D718*E718</f>
        <v>89548825.200000003</v>
      </c>
      <c r="G718" s="554">
        <v>0.1</v>
      </c>
      <c r="H718" s="620">
        <f>F718*G718</f>
        <v>8954882.5200000014</v>
      </c>
      <c r="I718" s="688"/>
      <c r="J718" s="688"/>
      <c r="K718" s="25"/>
      <c r="L718" s="25"/>
      <c r="M718" s="25"/>
      <c r="N718" s="25"/>
      <c r="O718" s="25"/>
      <c r="P718" s="25"/>
      <c r="Q718" s="25"/>
      <c r="R718" s="25"/>
    </row>
    <row r="719" spans="2:18" x14ac:dyDescent="0.2">
      <c r="B719" s="556" t="s">
        <v>1013</v>
      </c>
      <c r="C719" s="552">
        <v>204995</v>
      </c>
      <c r="D719" s="553">
        <f>C716*C719</f>
        <v>7790629980</v>
      </c>
      <c r="E719" s="554">
        <v>0.05</v>
      </c>
      <c r="F719" s="50">
        <f>D719*E719</f>
        <v>389531499</v>
      </c>
      <c r="G719" s="554"/>
      <c r="H719" s="557">
        <f>F719*G719</f>
        <v>0</v>
      </c>
      <c r="I719" s="688"/>
      <c r="J719" s="688"/>
      <c r="K719" s="25"/>
      <c r="L719" s="25"/>
      <c r="M719" s="25"/>
      <c r="N719" s="25"/>
      <c r="O719" s="25"/>
      <c r="P719" s="25"/>
      <c r="Q719" s="25"/>
      <c r="R719" s="25"/>
    </row>
    <row r="720" spans="2:18" x14ac:dyDescent="0.2">
      <c r="B720" s="551" t="s">
        <v>1014</v>
      </c>
      <c r="C720" s="552">
        <v>1736565</v>
      </c>
      <c r="D720" s="553">
        <f>C716*C720</f>
        <v>65996416260</v>
      </c>
      <c r="E720" s="554"/>
      <c r="F720" s="50">
        <f>D720*E720</f>
        <v>0</v>
      </c>
      <c r="G720" s="554"/>
      <c r="H720" s="557">
        <f>F720*G720</f>
        <v>0</v>
      </c>
      <c r="I720" s="688"/>
      <c r="J720" s="688"/>
      <c r="K720" s="25"/>
      <c r="L720" s="25"/>
      <c r="M720" s="25"/>
      <c r="N720" s="25"/>
      <c r="O720" s="25"/>
      <c r="P720" s="25"/>
      <c r="Q720" s="25"/>
      <c r="R720" s="25"/>
    </row>
    <row r="721" spans="2:18" x14ac:dyDescent="0.2">
      <c r="B721" s="551"/>
      <c r="C721" s="558"/>
      <c r="D721" s="559"/>
      <c r="E721" s="560"/>
      <c r="F721" s="525"/>
      <c r="G721" s="560"/>
      <c r="H721" s="561"/>
      <c r="I721" s="688"/>
      <c r="J721" s="688"/>
      <c r="K721" s="25"/>
      <c r="L721" s="25"/>
      <c r="M721" s="25"/>
      <c r="N721" s="25"/>
      <c r="O721" s="25"/>
      <c r="P721" s="25"/>
      <c r="Q721" s="25"/>
      <c r="R721" s="25"/>
    </row>
    <row r="722" spans="2:18" ht="15" x14ac:dyDescent="0.25">
      <c r="B722" s="466" t="s">
        <v>1136</v>
      </c>
      <c r="C722" s="466" t="s">
        <v>838</v>
      </c>
    </row>
    <row r="723" spans="2:18" x14ac:dyDescent="0.2">
      <c r="B723" s="478" t="s">
        <v>1137</v>
      </c>
      <c r="C723" s="478">
        <f>100000+ (10000*20)</f>
        <v>300000</v>
      </c>
      <c r="D723" s="52"/>
    </row>
    <row r="724" spans="2:18" x14ac:dyDescent="0.2">
      <c r="B724" s="478" t="s">
        <v>1138</v>
      </c>
      <c r="C724" s="478">
        <f>500000</f>
        <v>500000</v>
      </c>
      <c r="D724" s="52"/>
    </row>
    <row r="725" spans="2:18" x14ac:dyDescent="0.2">
      <c r="B725" s="103" t="s">
        <v>840</v>
      </c>
      <c r="C725" s="53">
        <f>150000*5</f>
        <v>750000</v>
      </c>
    </row>
    <row r="726" spans="2:18" x14ac:dyDescent="0.2">
      <c r="B726" s="103" t="s">
        <v>841</v>
      </c>
      <c r="C726" s="53">
        <f>30000*2</f>
        <v>60000</v>
      </c>
    </row>
    <row r="727" spans="2:18" ht="15" x14ac:dyDescent="0.25">
      <c r="B727" s="466" t="s">
        <v>32</v>
      </c>
      <c r="C727" s="480">
        <f>SUM(C723:C726)</f>
        <v>1610000</v>
      </c>
      <c r="D727" s="115"/>
    </row>
    <row r="728" spans="2:18" ht="15" x14ac:dyDescent="0.25">
      <c r="B728" s="648">
        <v>0.3</v>
      </c>
      <c r="C728" s="480">
        <f>C727*B728</f>
        <v>483000</v>
      </c>
      <c r="D728" s="115"/>
    </row>
    <row r="729" spans="2:18" x14ac:dyDescent="0.2">
      <c r="B729" s="115"/>
      <c r="C729" s="115"/>
      <c r="D729" s="115"/>
    </row>
    <row r="731" spans="2:18" ht="15" x14ac:dyDescent="0.2">
      <c r="B731" s="654" t="s">
        <v>1146</v>
      </c>
      <c r="C731" s="654" t="s">
        <v>1147</v>
      </c>
      <c r="D731" s="103"/>
    </row>
    <row r="732" spans="2:18" x14ac:dyDescent="0.2">
      <c r="B732" s="53">
        <v>20000000</v>
      </c>
      <c r="C732" s="103">
        <v>3</v>
      </c>
      <c r="D732" s="512">
        <f>B732*C732</f>
        <v>60000000</v>
      </c>
    </row>
    <row r="733" spans="2:18" ht="15" x14ac:dyDescent="0.2">
      <c r="B733" s="103" t="s">
        <v>1148</v>
      </c>
      <c r="D733" s="621">
        <f>D732*5%</f>
        <v>3000000</v>
      </c>
    </row>
    <row r="734" spans="2:18" x14ac:dyDescent="0.2">
      <c r="B734" s="101" t="s">
        <v>1149</v>
      </c>
    </row>
  </sheetData>
  <sheetProtection algorithmName="SHA-512" hashValue="X0cIpDFRbwE3gcRsMFwCDG5mxLYnjTQAk8y/QWIavxZRbnGPXcKh7p/6TITqCjf41QNRY1UR90vtGk/m5QAw7A==" saltValue="ATNjzP8UJjaE3nBlNJrAIA==" spinCount="100000" sheet="1" objects="1" scenarios="1"/>
  <mergeCells count="25">
    <mergeCell ref="B475:D475"/>
    <mergeCell ref="B368:C368"/>
    <mergeCell ref="B380:C380"/>
    <mergeCell ref="B395:C395"/>
    <mergeCell ref="B398:C398"/>
    <mergeCell ref="B404:C404"/>
    <mergeCell ref="B410:C410"/>
    <mergeCell ref="B342:C342"/>
    <mergeCell ref="B109:C109"/>
    <mergeCell ref="B124:C124"/>
    <mergeCell ref="B134:C134"/>
    <mergeCell ref="D179:D181"/>
    <mergeCell ref="D182:D184"/>
    <mergeCell ref="D185:D186"/>
    <mergeCell ref="D187:D188"/>
    <mergeCell ref="B266:C266"/>
    <mergeCell ref="B298:D298"/>
    <mergeCell ref="B327:C327"/>
    <mergeCell ref="B337:C337"/>
    <mergeCell ref="B108:C108"/>
    <mergeCell ref="B1:J1"/>
    <mergeCell ref="B6:E6"/>
    <mergeCell ref="B69:D69"/>
    <mergeCell ref="C71:C81"/>
    <mergeCell ref="B95:C95"/>
  </mergeCells>
  <hyperlinks>
    <hyperlink ref="B33"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zoomScale="70" zoomScaleNormal="70" workbookViewId="0">
      <selection activeCell="A2" sqref="A2:W2"/>
    </sheetView>
  </sheetViews>
  <sheetFormatPr baseColWidth="10" defaultColWidth="10.85546875" defaultRowHeight="14.25" x14ac:dyDescent="0.2"/>
  <cols>
    <col min="1" max="1" width="100.42578125" style="52" customWidth="1"/>
    <col min="2" max="2" width="20.42578125" style="52" customWidth="1"/>
    <col min="3" max="5" width="21.5703125" style="52" customWidth="1"/>
    <col min="6" max="6" width="22.42578125" style="52" bestFit="1" customWidth="1"/>
    <col min="7" max="9" width="22" style="52" bestFit="1" customWidth="1"/>
    <col min="10" max="10" width="22.42578125" style="52" bestFit="1" customWidth="1"/>
    <col min="11" max="11" width="22.85546875" style="52" bestFit="1" customWidth="1"/>
    <col min="12" max="12" width="21.5703125" style="52" bestFit="1" customWidth="1"/>
    <col min="13" max="13" width="22" style="52" bestFit="1" customWidth="1"/>
    <col min="14" max="14" width="21.5703125" style="52" customWidth="1"/>
    <col min="15" max="15" width="22.42578125" style="52" bestFit="1" customWidth="1"/>
    <col min="16" max="16" width="21.42578125" style="52" bestFit="1" customWidth="1"/>
    <col min="17" max="17" width="21.5703125" style="52" customWidth="1"/>
    <col min="18" max="18" width="21.42578125" style="52" bestFit="1" customWidth="1"/>
    <col min="19" max="19" width="21" style="52" bestFit="1" customWidth="1"/>
    <col min="20" max="21" width="21.42578125" style="52" bestFit="1" customWidth="1"/>
    <col min="22" max="22" width="24.28515625" style="52" bestFit="1" customWidth="1"/>
    <col min="23" max="23" width="23.42578125" style="301" bestFit="1" customWidth="1"/>
    <col min="24" max="16384" width="10.85546875" style="52"/>
  </cols>
  <sheetData>
    <row r="1" spans="1:23" ht="18.600000000000001" customHeight="1" x14ac:dyDescent="0.25">
      <c r="A1" s="847" t="s">
        <v>264</v>
      </c>
      <c r="B1" s="848"/>
      <c r="C1" s="848"/>
      <c r="D1" s="848"/>
      <c r="E1" s="848"/>
      <c r="F1" s="848"/>
      <c r="G1" s="848"/>
      <c r="H1" s="848"/>
      <c r="I1" s="848"/>
      <c r="J1" s="848"/>
      <c r="K1" s="848"/>
      <c r="L1" s="848"/>
      <c r="M1" s="848"/>
      <c r="N1" s="848"/>
      <c r="O1" s="848"/>
      <c r="P1" s="848"/>
      <c r="Q1" s="848"/>
      <c r="R1" s="848"/>
      <c r="S1" s="848"/>
      <c r="T1" s="848"/>
      <c r="U1" s="848"/>
      <c r="V1" s="848"/>
      <c r="W1" s="848"/>
    </row>
    <row r="2" spans="1:23" ht="15" x14ac:dyDescent="0.25">
      <c r="A2" s="847" t="s">
        <v>303</v>
      </c>
      <c r="B2" s="848"/>
      <c r="C2" s="848"/>
      <c r="D2" s="848"/>
      <c r="E2" s="848"/>
      <c r="F2" s="848"/>
      <c r="G2" s="848"/>
      <c r="H2" s="848"/>
      <c r="I2" s="848"/>
      <c r="J2" s="848"/>
      <c r="K2" s="848"/>
      <c r="L2" s="848"/>
      <c r="M2" s="848"/>
      <c r="N2" s="848"/>
      <c r="O2" s="848"/>
      <c r="P2" s="848"/>
      <c r="Q2" s="848"/>
      <c r="R2" s="848"/>
      <c r="S2" s="848"/>
      <c r="T2" s="848"/>
      <c r="U2" s="848"/>
      <c r="V2" s="848"/>
      <c r="W2" s="848"/>
    </row>
    <row r="3" spans="1:23" ht="18.75" x14ac:dyDescent="0.3">
      <c r="A3" s="209"/>
      <c r="B3" s="210"/>
      <c r="C3" s="210"/>
      <c r="D3" s="210"/>
      <c r="E3" s="210"/>
      <c r="F3" s="210"/>
      <c r="G3" s="210"/>
      <c r="H3" s="210"/>
      <c r="I3" s="210"/>
      <c r="J3" s="210"/>
      <c r="K3" s="210"/>
      <c r="L3" s="210"/>
      <c r="M3" s="210"/>
      <c r="N3" s="210"/>
      <c r="O3" s="210"/>
      <c r="P3" s="210"/>
      <c r="Q3" s="210"/>
      <c r="R3" s="210"/>
      <c r="S3" s="210"/>
      <c r="T3" s="210"/>
      <c r="U3" s="210"/>
      <c r="V3" s="210"/>
      <c r="W3" s="296"/>
    </row>
    <row r="5" spans="1:23" ht="15" x14ac:dyDescent="0.2">
      <c r="A5" s="158" t="s">
        <v>262</v>
      </c>
      <c r="B5" s="158">
        <v>1</v>
      </c>
      <c r="C5" s="158">
        <v>2</v>
      </c>
      <c r="D5" s="158">
        <v>3</v>
      </c>
      <c r="E5" s="158">
        <v>4</v>
      </c>
      <c r="F5" s="158">
        <v>5</v>
      </c>
      <c r="G5" s="158">
        <v>6</v>
      </c>
      <c r="H5" s="158">
        <v>7</v>
      </c>
      <c r="I5" s="158">
        <v>8</v>
      </c>
      <c r="J5" s="158">
        <v>9</v>
      </c>
      <c r="K5" s="158">
        <v>10</v>
      </c>
      <c r="L5" s="158">
        <v>11</v>
      </c>
      <c r="M5" s="158">
        <v>12</v>
      </c>
      <c r="N5" s="158">
        <v>13</v>
      </c>
      <c r="O5" s="158">
        <v>14</v>
      </c>
      <c r="P5" s="158">
        <v>15</v>
      </c>
      <c r="Q5" s="158">
        <v>16</v>
      </c>
      <c r="R5" s="158">
        <v>17</v>
      </c>
      <c r="S5" s="158">
        <v>18</v>
      </c>
      <c r="T5" s="158">
        <v>19</v>
      </c>
      <c r="U5" s="158">
        <v>20</v>
      </c>
      <c r="V5" s="690" t="s">
        <v>263</v>
      </c>
      <c r="W5" s="297" t="s">
        <v>25</v>
      </c>
    </row>
    <row r="6" spans="1:23" s="194" customFormat="1" ht="15" x14ac:dyDescent="0.2">
      <c r="A6" s="193" t="str">
        <f>Portafolio_Cadena_Maíz!C2</f>
        <v>1. Incremento del consumo de maíz nacional.</v>
      </c>
      <c r="B6" s="159">
        <f>'P1'!E7</f>
        <v>1180628211.9875</v>
      </c>
      <c r="C6" s="159">
        <f>'P1'!F7</f>
        <v>4722512847.9499998</v>
      </c>
      <c r="D6" s="159">
        <f>'P1'!G7</f>
        <v>9398987708.1499977</v>
      </c>
      <c r="E6" s="159">
        <f>'P1'!H7</f>
        <v>10079202233.27</v>
      </c>
      <c r="F6" s="159">
        <f>'P1'!I7</f>
        <v>10815747023.751499</v>
      </c>
      <c r="G6" s="159">
        <f>'P1'!J7</f>
        <v>11612554569.817848</v>
      </c>
      <c r="H6" s="159">
        <f>'P1'!K7</f>
        <v>12680511036.707367</v>
      </c>
      <c r="I6" s="159">
        <f>'P1'!L7</f>
        <v>4722512847.9499998</v>
      </c>
      <c r="J6" s="159">
        <f>'P1'!M7</f>
        <v>4722512847.9499998</v>
      </c>
      <c r="K6" s="159">
        <f>'P1'!N7</f>
        <v>4722512847.9499998</v>
      </c>
      <c r="L6" s="159">
        <f>'P1'!O7</f>
        <v>4722512847.9499998</v>
      </c>
      <c r="M6" s="159">
        <f>'P1'!P7</f>
        <v>4722512847.9499998</v>
      </c>
      <c r="N6" s="159">
        <f>'P1'!Q7</f>
        <v>4722512847.9499998</v>
      </c>
      <c r="O6" s="159">
        <f>'P1'!R7</f>
        <v>4722512847.9499998</v>
      </c>
      <c r="P6" s="159">
        <f>'P1'!S7</f>
        <v>4722512847.9499998</v>
      </c>
      <c r="Q6" s="159">
        <f>'P1'!T7</f>
        <v>4722512847.9499998</v>
      </c>
      <c r="R6" s="159">
        <f>'P1'!U7</f>
        <v>4722512847.9499998</v>
      </c>
      <c r="S6" s="159">
        <f>'P1'!V7</f>
        <v>4722512847.9499998</v>
      </c>
      <c r="T6" s="159">
        <f>'P1'!W7</f>
        <v>4722512847.9499998</v>
      </c>
      <c r="U6" s="159">
        <f>'P1'!X7</f>
        <v>4722512847.9499998</v>
      </c>
      <c r="V6" s="159">
        <f>'P1'!Y7</f>
        <v>121882810654.98418</v>
      </c>
      <c r="W6" s="298">
        <f t="shared" ref="W6:W28" si="0">V6/V$42</f>
        <v>3.0265242142479293E-2</v>
      </c>
    </row>
    <row r="7" spans="1:23" s="194" customFormat="1" x14ac:dyDescent="0.2">
      <c r="A7" s="195" t="str">
        <f>Portafolio_Cadena_Maíz!D2</f>
        <v>1.1. Aumento de la participación del maíz nacional en el mercado de consumo animal.</v>
      </c>
      <c r="B7" s="53">
        <f>'P1'!E8</f>
        <v>516491238.75</v>
      </c>
      <c r="C7" s="53">
        <f>'P1'!F8</f>
        <v>2065964955</v>
      </c>
      <c r="D7" s="53">
        <f>'P1'!G8</f>
        <v>6742439815.1999989</v>
      </c>
      <c r="E7" s="53">
        <f>'P1'!H8</f>
        <v>7422654340.3199997</v>
      </c>
      <c r="F7" s="53">
        <f>'P1'!I8</f>
        <v>8159199130.8014994</v>
      </c>
      <c r="G7" s="53">
        <f>'P1'!J8</f>
        <v>8956006676.8678493</v>
      </c>
      <c r="H7" s="53">
        <f>'P1'!K8</f>
        <v>10023963143.757366</v>
      </c>
      <c r="I7" s="53">
        <f>'P1'!L8</f>
        <v>2065964955</v>
      </c>
      <c r="J7" s="53">
        <f>'P1'!M8</f>
        <v>2065964955</v>
      </c>
      <c r="K7" s="53">
        <f>'P1'!N8</f>
        <v>2065964955</v>
      </c>
      <c r="L7" s="53">
        <f>'P1'!O8</f>
        <v>2065964955</v>
      </c>
      <c r="M7" s="53">
        <f>'P1'!P8</f>
        <v>2065964955</v>
      </c>
      <c r="N7" s="53">
        <f>'P1'!Q8</f>
        <v>2065964955</v>
      </c>
      <c r="O7" s="53">
        <f>'P1'!R8</f>
        <v>2065964955</v>
      </c>
      <c r="P7" s="53">
        <f>'P1'!S8</f>
        <v>2065964955</v>
      </c>
      <c r="Q7" s="53">
        <f>'P1'!T8</f>
        <v>2065964955</v>
      </c>
      <c r="R7" s="53">
        <f>'P1'!U8</f>
        <v>2065964955</v>
      </c>
      <c r="S7" s="53">
        <f>'P1'!V8</f>
        <v>2065964955</v>
      </c>
      <c r="T7" s="53">
        <f>'P1'!W8</f>
        <v>2065964955</v>
      </c>
      <c r="U7" s="53">
        <f>'P1'!X8</f>
        <v>2065964955</v>
      </c>
      <c r="V7" s="53">
        <f>'P1'!Y8</f>
        <v>70744263715.696716</v>
      </c>
      <c r="W7" s="205">
        <f t="shared" si="0"/>
        <v>1.7566810775375051E-2</v>
      </c>
    </row>
    <row r="8" spans="1:23" s="194" customFormat="1" ht="28.5" x14ac:dyDescent="0.2">
      <c r="A8" s="195" t="str">
        <f>Portafolio_Cadena_Maíz!D8</f>
        <v>1.2. Posicionamiento de la oferta del maíz nacional y sus derivados, para alimentación humana y otros usos.</v>
      </c>
      <c r="B8" s="53">
        <f>'P1'!E9</f>
        <v>664136973.23749995</v>
      </c>
      <c r="C8" s="53">
        <f>'P1'!F9</f>
        <v>2656547892.9499998</v>
      </c>
      <c r="D8" s="53">
        <f>'P1'!G9</f>
        <v>2656547892.9499998</v>
      </c>
      <c r="E8" s="53">
        <f>'P1'!H9</f>
        <v>2656547892.9499998</v>
      </c>
      <c r="F8" s="53">
        <f>'P1'!I9</f>
        <v>2656547892.9499998</v>
      </c>
      <c r="G8" s="53">
        <f>'P1'!J9</f>
        <v>2656547892.9499998</v>
      </c>
      <c r="H8" s="53">
        <f>'P1'!K9</f>
        <v>2656547892.9499998</v>
      </c>
      <c r="I8" s="53">
        <f>'P1'!L9</f>
        <v>2656547892.9499998</v>
      </c>
      <c r="J8" s="53">
        <f>'P1'!M9</f>
        <v>2656547892.9499998</v>
      </c>
      <c r="K8" s="53">
        <f>'P1'!N9</f>
        <v>2656547892.9499998</v>
      </c>
      <c r="L8" s="53">
        <f>'P1'!O9</f>
        <v>2656547892.9499998</v>
      </c>
      <c r="M8" s="53">
        <f>'P1'!P9</f>
        <v>2656547892.9499998</v>
      </c>
      <c r="N8" s="53">
        <f>'P1'!Q9</f>
        <v>2656547892.9499998</v>
      </c>
      <c r="O8" s="53">
        <f>'P1'!R9</f>
        <v>2656547892.9499998</v>
      </c>
      <c r="P8" s="53">
        <f>'P1'!S9</f>
        <v>2656547892.9499998</v>
      </c>
      <c r="Q8" s="53">
        <f>'P1'!T9</f>
        <v>2656547892.9499998</v>
      </c>
      <c r="R8" s="53">
        <f>'P1'!U9</f>
        <v>2656547892.9499998</v>
      </c>
      <c r="S8" s="53">
        <f>'P1'!V9</f>
        <v>2656547892.9499998</v>
      </c>
      <c r="T8" s="53">
        <f>'P1'!W9</f>
        <v>2656547892.9499998</v>
      </c>
      <c r="U8" s="53">
        <f>'P1'!X9</f>
        <v>2656547892.9499998</v>
      </c>
      <c r="V8" s="53">
        <f>'P1'!Y9</f>
        <v>51138546939.287483</v>
      </c>
      <c r="W8" s="205">
        <f t="shared" si="0"/>
        <v>1.2698431367104249E-2</v>
      </c>
    </row>
    <row r="9" spans="1:23" s="194" customFormat="1" ht="15" x14ac:dyDescent="0.2">
      <c r="A9" s="193" t="str">
        <f>Portafolio_Cadena_Maíz!C14</f>
        <v>2. Mejoramiento productivo del cultivo de maíz.</v>
      </c>
      <c r="B9" s="159">
        <f>'P2'!E7</f>
        <v>1802829810.5</v>
      </c>
      <c r="C9" s="159">
        <f>'P2'!F7</f>
        <v>54700812917.111115</v>
      </c>
      <c r="D9" s="159">
        <f>'P2'!G7</f>
        <v>61253533717.444443</v>
      </c>
      <c r="E9" s="159">
        <f>'P2'!H7</f>
        <v>69317638832.257782</v>
      </c>
      <c r="F9" s="159">
        <f>'P2'!I7</f>
        <v>81098964452.682312</v>
      </c>
      <c r="G9" s="159">
        <f>'P2'!J7</f>
        <v>91883826535.881378</v>
      </c>
      <c r="H9" s="159">
        <f>'P2'!K7</f>
        <v>111419108894.08849</v>
      </c>
      <c r="I9" s="159">
        <f>'P2'!L7</f>
        <v>132441857685.80318</v>
      </c>
      <c r="J9" s="159">
        <f>'P2'!M7</f>
        <v>156729585425.01498</v>
      </c>
      <c r="K9" s="159">
        <f>'P2'!N7</f>
        <v>185909956374.87408</v>
      </c>
      <c r="L9" s="159">
        <f>'P2'!O7</f>
        <v>156483415817.74164</v>
      </c>
      <c r="M9" s="159">
        <f>'P2'!P7</f>
        <v>47500191319.037148</v>
      </c>
      <c r="N9" s="159">
        <f>'P2'!Q7</f>
        <v>41686713634.004921</v>
      </c>
      <c r="O9" s="159">
        <f>'P2'!R7</f>
        <v>37060542406.949623</v>
      </c>
      <c r="P9" s="159">
        <f>'P2'!S7</f>
        <v>33227637281.642647</v>
      </c>
      <c r="Q9" s="159">
        <f>'P2'!T7</f>
        <v>29793980666.979088</v>
      </c>
      <c r="R9" s="159">
        <f>'P2'!U7</f>
        <v>26586552152.320343</v>
      </c>
      <c r="S9" s="159">
        <f>'P2'!V7</f>
        <v>24954635817.291122</v>
      </c>
      <c r="T9" s="159">
        <f>'P2'!W7</f>
        <v>23500090118.613655</v>
      </c>
      <c r="U9" s="159">
        <f>'P2'!X7</f>
        <v>22395366286.856834</v>
      </c>
      <c r="V9" s="159">
        <f>'P2'!Y7</f>
        <v>1389747240147.0947</v>
      </c>
      <c r="W9" s="298">
        <f t="shared" si="0"/>
        <v>0.34509408270011976</v>
      </c>
    </row>
    <row r="10" spans="1:23" s="194" customFormat="1" ht="28.5" x14ac:dyDescent="0.2">
      <c r="A10" s="195" t="str">
        <f>Portafolio_Cadena_Maíz!D14</f>
        <v>2.1. Fortalecimiento de la extensión agrícola y asistencia técnica a los productores del sistema tradicional.</v>
      </c>
      <c r="B10" s="53">
        <f>'P2'!E8</f>
        <v>579822116.5</v>
      </c>
      <c r="C10" s="53">
        <f>'P2'!F8</f>
        <v>5580556377.1111107</v>
      </c>
      <c r="D10" s="53">
        <f>'P2'!G8</f>
        <v>5384880302.4444447</v>
      </c>
      <c r="E10" s="53">
        <f>'P2'!H8</f>
        <v>5200944792.2577782</v>
      </c>
      <c r="F10" s="53">
        <f>'P2'!I8</f>
        <v>5028045412.6823111</v>
      </c>
      <c r="G10" s="53">
        <f>'P2'!J8</f>
        <v>4865519995.8813725</v>
      </c>
      <c r="H10" s="53">
        <f>'P2'!K8</f>
        <v>4712746104.0884895</v>
      </c>
      <c r="I10" s="53">
        <f>'P2'!L8</f>
        <v>4569138645.8031807</v>
      </c>
      <c r="J10" s="53">
        <f>'P2'!M8</f>
        <v>4434147635.0149899</v>
      </c>
      <c r="K10" s="53">
        <f>'P2'!N8</f>
        <v>4307256084.8740902</v>
      </c>
      <c r="L10" s="53">
        <f>'P2'!O8</f>
        <v>4187978027.7416449</v>
      </c>
      <c r="M10" s="53">
        <f>'P2'!P8</f>
        <v>4075856654.0371466</v>
      </c>
      <c r="N10" s="53">
        <f>'P2'!Q8</f>
        <v>3970462562.7549176</v>
      </c>
      <c r="O10" s="53">
        <f>'P2'!R8</f>
        <v>3871392116.9496226</v>
      </c>
      <c r="P10" s="53">
        <f>'P2'!S8</f>
        <v>3778265897.8926454</v>
      </c>
      <c r="Q10" s="53">
        <f>'P2'!T8</f>
        <v>3690727251.9790864</v>
      </c>
      <c r="R10" s="53">
        <f>'P2'!U8</f>
        <v>3608440924.8203416</v>
      </c>
      <c r="S10" s="53">
        <f>'P2'!V8</f>
        <v>3531091777.291121</v>
      </c>
      <c r="T10" s="53">
        <f>'P2'!W8</f>
        <v>3458383578.6136537</v>
      </c>
      <c r="U10" s="53">
        <f>'P2'!X8</f>
        <v>3390037871.8568344</v>
      </c>
      <c r="V10" s="53">
        <f>'P2'!Y8</f>
        <v>82225694130.594788</v>
      </c>
      <c r="W10" s="205">
        <f t="shared" si="0"/>
        <v>2.0417813880583693E-2</v>
      </c>
    </row>
    <row r="11" spans="1:23" s="194" customFormat="1" x14ac:dyDescent="0.2">
      <c r="A11" s="195" t="str">
        <f>Portafolio_Cadena_Maíz!D21</f>
        <v>2.2. Implementación efectiva de asistencia técnica profesional, en sistemas tecnificados de maíz.</v>
      </c>
      <c r="B11" s="53">
        <f>'P2'!E9</f>
        <v>937600168</v>
      </c>
      <c r="C11" s="53">
        <f>'P2'!F9</f>
        <v>48739713172</v>
      </c>
      <c r="D11" s="53">
        <f>'P2'!G9</f>
        <v>55488110047</v>
      </c>
      <c r="E11" s="53">
        <f>'P2'!H9</f>
        <v>63736150672</v>
      </c>
      <c r="F11" s="53">
        <f>'P2'!I9</f>
        <v>75690375672</v>
      </c>
      <c r="G11" s="53">
        <f>'P2'!J9</f>
        <v>86637763172</v>
      </c>
      <c r="H11" s="53">
        <f>'P2'!K9</f>
        <v>106325819422</v>
      </c>
      <c r="I11" s="53">
        <f>'P2'!L9</f>
        <v>127492175672</v>
      </c>
      <c r="J11" s="53">
        <f>'P2'!M9</f>
        <v>151914894422</v>
      </c>
      <c r="K11" s="53">
        <f>'P2'!N9</f>
        <v>181222156922</v>
      </c>
      <c r="L11" s="53">
        <f>'P2'!O9</f>
        <v>151914894422</v>
      </c>
      <c r="M11" s="53">
        <f>'P2'!P9</f>
        <v>43043791297</v>
      </c>
      <c r="N11" s="53">
        <f>'P2'!Q9</f>
        <v>37335707703.25</v>
      </c>
      <c r="O11" s="53">
        <f>'P2'!R9</f>
        <v>32808606922</v>
      </c>
      <c r="P11" s="53">
        <f>'P2'!S9</f>
        <v>29068828015.75</v>
      </c>
      <c r="Q11" s="53">
        <f>'P2'!T9</f>
        <v>25722710047</v>
      </c>
      <c r="R11" s="53">
        <f>'P2'!U9</f>
        <v>22597567859.5</v>
      </c>
      <c r="S11" s="53">
        <f>'P2'!V9</f>
        <v>21043000672</v>
      </c>
      <c r="T11" s="53">
        <f>'P2'!W9</f>
        <v>19661163172</v>
      </c>
      <c r="U11" s="53">
        <f>'P2'!X9</f>
        <v>18624785047</v>
      </c>
      <c r="V11" s="53">
        <f>'P2'!Y9</f>
        <v>1300005814498.5</v>
      </c>
      <c r="W11" s="205">
        <f t="shared" si="0"/>
        <v>0.32281000537313403</v>
      </c>
    </row>
    <row r="12" spans="1:23" s="194" customFormat="1" x14ac:dyDescent="0.2">
      <c r="A12" s="195" t="str">
        <f>Portafolio_Cadena_Maíz!D28</f>
        <v xml:space="preserve">2.3. Impulso a la producción de maíz a mediana y gran escala.  </v>
      </c>
      <c r="B12" s="53">
        <f>'P2'!E10</f>
        <v>285407526</v>
      </c>
      <c r="C12" s="53">
        <f>'P2'!F10</f>
        <v>380543368</v>
      </c>
      <c r="D12" s="53">
        <f>'P2'!G10</f>
        <v>380543368</v>
      </c>
      <c r="E12" s="53">
        <f>'P2'!H10</f>
        <v>380543368</v>
      </c>
      <c r="F12" s="53">
        <f>'P2'!I10</f>
        <v>380543368</v>
      </c>
      <c r="G12" s="53">
        <f>'P2'!J10</f>
        <v>380543368</v>
      </c>
      <c r="H12" s="53">
        <f>'P2'!K10</f>
        <v>380543368</v>
      </c>
      <c r="I12" s="53">
        <f>'P2'!L10</f>
        <v>380543368</v>
      </c>
      <c r="J12" s="53">
        <f>'P2'!M10</f>
        <v>380543368</v>
      </c>
      <c r="K12" s="53">
        <f>'P2'!N10</f>
        <v>380543368</v>
      </c>
      <c r="L12" s="53">
        <f>'P2'!O10</f>
        <v>380543368</v>
      </c>
      <c r="M12" s="53">
        <f>'P2'!P10</f>
        <v>380543368</v>
      </c>
      <c r="N12" s="53">
        <f>'P2'!Q10</f>
        <v>380543368</v>
      </c>
      <c r="O12" s="53">
        <f>'P2'!R10</f>
        <v>380543368</v>
      </c>
      <c r="P12" s="53">
        <f>'P2'!S10</f>
        <v>380543368</v>
      </c>
      <c r="Q12" s="53">
        <f>'P2'!T10</f>
        <v>380543368</v>
      </c>
      <c r="R12" s="53">
        <f>'P2'!U10</f>
        <v>380543368</v>
      </c>
      <c r="S12" s="53">
        <f>'P2'!V10</f>
        <v>380543368</v>
      </c>
      <c r="T12" s="53">
        <f>'P2'!W10</f>
        <v>380543368</v>
      </c>
      <c r="U12" s="53">
        <f>'P2'!X10</f>
        <v>380543368</v>
      </c>
      <c r="V12" s="53">
        <f>'P2'!Y10</f>
        <v>7515731518</v>
      </c>
      <c r="W12" s="205">
        <f t="shared" si="0"/>
        <v>1.8662634464020026E-3</v>
      </c>
    </row>
    <row r="13" spans="1:23" s="194" customFormat="1" ht="15" x14ac:dyDescent="0.2">
      <c r="A13" s="193" t="str">
        <f>Portafolio_Cadena_Maíz!C35</f>
        <v xml:space="preserve">3. Generación y consolidación de encadenamientos regionales para la cadena de maíz. </v>
      </c>
      <c r="B13" s="159">
        <f>'P3'!E6</f>
        <v>2192898774.0434999</v>
      </c>
      <c r="C13" s="159">
        <f>'P3'!F6</f>
        <v>72759131329.773895</v>
      </c>
      <c r="D13" s="159">
        <f>'P3'!G6</f>
        <v>81284033359.461975</v>
      </c>
      <c r="E13" s="159">
        <f>'P3'!H6</f>
        <v>92414941744.849091</v>
      </c>
      <c r="F13" s="159">
        <f>'P3'!I6</f>
        <v>105346504560.48488</v>
      </c>
      <c r="G13" s="159">
        <f>'P3'!J6</f>
        <v>120017945562.466</v>
      </c>
      <c r="H13" s="159">
        <f>'P3'!K6</f>
        <v>142741405627.8584</v>
      </c>
      <c r="I13" s="159">
        <f>'P3'!L6</f>
        <v>170104592545.74368</v>
      </c>
      <c r="J13" s="159">
        <f>'P3'!M6</f>
        <v>202940416847.20602</v>
      </c>
      <c r="K13" s="159">
        <f>'P3'!N6</f>
        <v>242343406008.96088</v>
      </c>
      <c r="L13" s="159">
        <f>'P3'!O6</f>
        <v>201691152161.89401</v>
      </c>
      <c r="M13" s="159">
        <f>'P3'!P6</f>
        <v>162288163000.13922</v>
      </c>
      <c r="N13" s="159">
        <f>'P3'!Q6</f>
        <v>130765771670.73537</v>
      </c>
      <c r="O13" s="159">
        <f>'P3'!R6</f>
        <v>105547858607.21228</v>
      </c>
      <c r="P13" s="159">
        <f>'P3'!S6</f>
        <v>85373528156.39386</v>
      </c>
      <c r="Q13" s="159">
        <f>'P3'!T6</f>
        <v>69234063795.739075</v>
      </c>
      <c r="R13" s="159">
        <f>'P3'!U6</f>
        <v>56322492307.215271</v>
      </c>
      <c r="S13" s="159">
        <f>'P3'!V6</f>
        <v>45993235116.396217</v>
      </c>
      <c r="T13" s="159">
        <f>'P3'!W6</f>
        <v>37729829363.740974</v>
      </c>
      <c r="U13" s="159">
        <f>'P3'!X6</f>
        <v>31119104761.616779</v>
      </c>
      <c r="V13" s="159">
        <f>'P3'!Y6</f>
        <v>2158210475301.9316</v>
      </c>
      <c r="W13" s="298">
        <f t="shared" si="0"/>
        <v>0.53591447619588672</v>
      </c>
    </row>
    <row r="14" spans="1:23" s="194" customFormat="1" x14ac:dyDescent="0.2">
      <c r="A14" s="195" t="str">
        <f>Portafolio_Cadena_Maíz!D35</f>
        <v>3.1. Promoción y fortalecimiento de organizaciones de economía solidaria en la cadena de maíz.</v>
      </c>
      <c r="B14" s="53">
        <f>'P3'!E7</f>
        <v>239430830</v>
      </c>
      <c r="C14" s="53">
        <f>'P3'!F7</f>
        <v>957723320</v>
      </c>
      <c r="D14" s="53">
        <f>'P3'!G7</f>
        <v>957723320</v>
      </c>
      <c r="E14" s="53">
        <f>'P3'!H7</f>
        <v>957723320</v>
      </c>
      <c r="F14" s="53">
        <f>'P3'!I7</f>
        <v>957723320</v>
      </c>
      <c r="G14" s="53">
        <f>'P3'!J7</f>
        <v>1332723320</v>
      </c>
      <c r="H14" s="53">
        <f>'P3'!K7</f>
        <v>1332723320</v>
      </c>
      <c r="I14" s="53">
        <f>'P3'!L7</f>
        <v>1332723320</v>
      </c>
      <c r="J14" s="53">
        <f>'P3'!M7</f>
        <v>1332723320</v>
      </c>
      <c r="K14" s="53">
        <f>'P3'!N7</f>
        <v>1332723320</v>
      </c>
      <c r="L14" s="53">
        <f>'P3'!O7</f>
        <v>1332723320</v>
      </c>
      <c r="M14" s="53">
        <f>'P3'!P7</f>
        <v>1332723320</v>
      </c>
      <c r="N14" s="53">
        <f>'P3'!Q7</f>
        <v>1332723320</v>
      </c>
      <c r="O14" s="53">
        <f>'P3'!R7</f>
        <v>1332723320</v>
      </c>
      <c r="P14" s="53">
        <f>'P3'!S7</f>
        <v>1332723320</v>
      </c>
      <c r="Q14" s="53">
        <f>'P3'!T7</f>
        <v>1332723320</v>
      </c>
      <c r="R14" s="53">
        <f>'P3'!U7</f>
        <v>1332723320</v>
      </c>
      <c r="S14" s="53">
        <f>'P3'!V7</f>
        <v>1332723320</v>
      </c>
      <c r="T14" s="53">
        <f>'P3'!W7</f>
        <v>1332723320</v>
      </c>
      <c r="U14" s="53">
        <f>'P3'!X7</f>
        <v>1332723320</v>
      </c>
      <c r="V14" s="53">
        <f>'P3'!Y7</f>
        <v>24061173910</v>
      </c>
      <c r="W14" s="205">
        <f t="shared" si="0"/>
        <v>5.9747330300729011E-3</v>
      </c>
    </row>
    <row r="15" spans="1:23" s="194" customFormat="1" x14ac:dyDescent="0.2">
      <c r="A15" s="195" t="str">
        <f>Portafolio_Cadena_Maíz!D39</f>
        <v>3.2. Promoción de la integración y las alianzas estratégicas regionales en la cadena de maíz.</v>
      </c>
      <c r="B15" s="53">
        <f>'P3'!E8</f>
        <v>605460671.5</v>
      </c>
      <c r="C15" s="53">
        <f>'P3'!F8</f>
        <v>2421842686</v>
      </c>
      <c r="D15" s="53">
        <f>'P3'!G8</f>
        <v>2421842686</v>
      </c>
      <c r="E15" s="53">
        <f>'P3'!H8</f>
        <v>2421842686</v>
      </c>
      <c r="F15" s="53">
        <f>'P3'!I8</f>
        <v>2421842686</v>
      </c>
      <c r="G15" s="53">
        <f>'P3'!J8</f>
        <v>1846986450</v>
      </c>
      <c r="H15" s="53">
        <f>'P3'!K8</f>
        <v>1846986450</v>
      </c>
      <c r="I15" s="53">
        <f>'P3'!L8</f>
        <v>1846986450</v>
      </c>
      <c r="J15" s="53">
        <f>'P3'!M8</f>
        <v>1846986450</v>
      </c>
      <c r="K15" s="53">
        <f>'P3'!N8</f>
        <v>1846986450</v>
      </c>
      <c r="L15" s="53">
        <f>'P3'!O8</f>
        <v>1846986450</v>
      </c>
      <c r="M15" s="53">
        <f>'P3'!P8</f>
        <v>1846986450</v>
      </c>
      <c r="N15" s="53">
        <f>'P3'!Q8</f>
        <v>1846986450</v>
      </c>
      <c r="O15" s="53">
        <f>'P3'!R8</f>
        <v>1846986450</v>
      </c>
      <c r="P15" s="53">
        <f>'P3'!S8</f>
        <v>1846986450</v>
      </c>
      <c r="Q15" s="53">
        <f>'P3'!T8</f>
        <v>1846986450</v>
      </c>
      <c r="R15" s="53">
        <f>'P3'!U8</f>
        <v>1846986450</v>
      </c>
      <c r="S15" s="53">
        <f>'P3'!V8</f>
        <v>1846986450</v>
      </c>
      <c r="T15" s="53">
        <f>'P3'!W8</f>
        <v>1846986450</v>
      </c>
      <c r="U15" s="53">
        <f>'P3'!X8</f>
        <v>1846986450</v>
      </c>
      <c r="V15" s="53">
        <f>'P3'!Y8</f>
        <v>37997628165.5</v>
      </c>
      <c r="W15" s="205">
        <f t="shared" si="0"/>
        <v>9.4353536080169272E-3</v>
      </c>
    </row>
    <row r="16" spans="1:23" s="194" customFormat="1" ht="28.5" x14ac:dyDescent="0.2">
      <c r="A16" s="196" t="str">
        <f>Portafolio_Cadena_Maíz!D42</f>
        <v>3.3. Aumento de la capacidad instalada regional para el secamiento, almacenamiento, y procesamiento agroindustrial de maíz.</v>
      </c>
      <c r="B16" s="53">
        <f>'P3'!E9</f>
        <v>341786536.80150002</v>
      </c>
      <c r="C16" s="53">
        <f>'P3'!F9</f>
        <v>66554608355.829895</v>
      </c>
      <c r="D16" s="53">
        <f>'P3'!G9</f>
        <v>75079510385.517975</v>
      </c>
      <c r="E16" s="53">
        <f>'P3'!H9</f>
        <v>86210418770.90509</v>
      </c>
      <c r="F16" s="53">
        <f>'P3'!I9</f>
        <v>99141981586.540878</v>
      </c>
      <c r="G16" s="53">
        <f>'P3'!J9</f>
        <v>114013278824.522</v>
      </c>
      <c r="H16" s="53">
        <f>'P3'!K9</f>
        <v>136815934589.42639</v>
      </c>
      <c r="I16" s="53">
        <f>'P3'!L9</f>
        <v>164179121507.31168</v>
      </c>
      <c r="J16" s="53">
        <f>'P3'!M9</f>
        <v>197014945808.77402</v>
      </c>
      <c r="K16" s="53">
        <f>'P3'!N9</f>
        <v>236417934970.52887</v>
      </c>
      <c r="L16" s="53">
        <f>'P3'!O9</f>
        <v>197014945808.77402</v>
      </c>
      <c r="M16" s="53">
        <f>'P3'!P9</f>
        <v>157611956647.01923</v>
      </c>
      <c r="N16" s="53">
        <f>'P3'!Q9</f>
        <v>126089565317.61537</v>
      </c>
      <c r="O16" s="53">
        <f>'P3'!R9</f>
        <v>100871652254.09229</v>
      </c>
      <c r="P16" s="53">
        <f>'P3'!S9</f>
        <v>80697321803.273865</v>
      </c>
      <c r="Q16" s="53">
        <f>'P3'!T9</f>
        <v>64557857442.61908</v>
      </c>
      <c r="R16" s="53">
        <f>'P3'!U9</f>
        <v>51646285954.095268</v>
      </c>
      <c r="S16" s="53">
        <f>'P3'!V9</f>
        <v>41317028763.276215</v>
      </c>
      <c r="T16" s="53">
        <f>'P3'!W9</f>
        <v>33053623010.620975</v>
      </c>
      <c r="U16" s="53">
        <f>'P3'!X9</f>
        <v>26442898408.49678</v>
      </c>
      <c r="V16" s="53">
        <f>'P3'!Y9</f>
        <v>2055072656746.0415</v>
      </c>
      <c r="W16" s="205">
        <f t="shared" si="0"/>
        <v>0.5103038832347746</v>
      </c>
    </row>
    <row r="17" spans="1:23" s="194" customFormat="1" x14ac:dyDescent="0.2">
      <c r="A17" s="196" t="str">
        <f>Portafolio_Cadena_Maíz!D47</f>
        <v xml:space="preserve">3.4. Fortalecimiento de la oferta de insumos y servicios asociados a la cadena. </v>
      </c>
      <c r="B17" s="53">
        <f>'P3'!E10</f>
        <v>556248495.10800004</v>
      </c>
      <c r="C17" s="53">
        <f>'P3'!F10</f>
        <v>2224993980.4320002</v>
      </c>
      <c r="D17" s="53">
        <f>'P3'!G10</f>
        <v>2224993980.4320002</v>
      </c>
      <c r="E17" s="53">
        <f>'P3'!H10</f>
        <v>2224993980.4320002</v>
      </c>
      <c r="F17" s="53">
        <f>'P3'!I10</f>
        <v>2224993980.4320002</v>
      </c>
      <c r="G17" s="53">
        <f>'P3'!J10</f>
        <v>2224993980.4320002</v>
      </c>
      <c r="H17" s="53">
        <f>'P3'!K10</f>
        <v>2224993980.4320002</v>
      </c>
      <c r="I17" s="53">
        <f>'P3'!L10</f>
        <v>2224993980.4320002</v>
      </c>
      <c r="J17" s="53">
        <f>'P3'!M10</f>
        <v>2224993980.4320002</v>
      </c>
      <c r="K17" s="53">
        <f>'P3'!N10</f>
        <v>2224993980.4320002</v>
      </c>
      <c r="L17" s="53">
        <f>'P3'!O10</f>
        <v>975729295.12</v>
      </c>
      <c r="M17" s="53">
        <f>'P3'!P10</f>
        <v>975729295.12</v>
      </c>
      <c r="N17" s="53">
        <f>'P3'!Q10</f>
        <v>975729295.12</v>
      </c>
      <c r="O17" s="53">
        <f>'P3'!R10</f>
        <v>975729295.12</v>
      </c>
      <c r="P17" s="53">
        <f>'P3'!S10</f>
        <v>975729295.12</v>
      </c>
      <c r="Q17" s="53">
        <f>'P3'!T10</f>
        <v>975729295.12</v>
      </c>
      <c r="R17" s="53">
        <f>'P3'!U10</f>
        <v>975729295.12</v>
      </c>
      <c r="S17" s="53">
        <f>'P3'!V10</f>
        <v>975729295.12</v>
      </c>
      <c r="T17" s="53">
        <f>'P3'!W10</f>
        <v>975729295.12</v>
      </c>
      <c r="U17" s="53">
        <f>'P3'!X10</f>
        <v>975729295.12</v>
      </c>
      <c r="V17" s="53">
        <f>'P3'!Y10</f>
        <v>30338487270.195988</v>
      </c>
      <c r="W17" s="205">
        <f t="shared" si="0"/>
        <v>7.5334795656146862E-3</v>
      </c>
    </row>
    <row r="18" spans="1:23" s="194" customFormat="1" x14ac:dyDescent="0.2">
      <c r="A18" s="196" t="str">
        <f>Portafolio_Cadena_Maíz!D53</f>
        <v>3.5. Mejora del entorno productivo para las grandes inversiones en las regiones maiceras.</v>
      </c>
      <c r="B18" s="53">
        <f>'P3'!E11</f>
        <v>449972240.63399994</v>
      </c>
      <c r="C18" s="53">
        <f>'P3'!F11</f>
        <v>599962987.51199996</v>
      </c>
      <c r="D18" s="53">
        <f>'P3'!G11</f>
        <v>599962987.51199996</v>
      </c>
      <c r="E18" s="53">
        <f>'P3'!H11</f>
        <v>599962987.51199996</v>
      </c>
      <c r="F18" s="53">
        <f>'P3'!I11</f>
        <v>599962987.51199996</v>
      </c>
      <c r="G18" s="53">
        <f>'P3'!J11</f>
        <v>599962987.51199996</v>
      </c>
      <c r="H18" s="53">
        <f>'P3'!K11</f>
        <v>520767288</v>
      </c>
      <c r="I18" s="53">
        <f>'P3'!L11</f>
        <v>520767288</v>
      </c>
      <c r="J18" s="53">
        <f>'P3'!M11</f>
        <v>520767288</v>
      </c>
      <c r="K18" s="53">
        <f>'P3'!N11</f>
        <v>520767288</v>
      </c>
      <c r="L18" s="53">
        <f>'P3'!O11</f>
        <v>520767288</v>
      </c>
      <c r="M18" s="53">
        <f>'P3'!P11</f>
        <v>520767288</v>
      </c>
      <c r="N18" s="53">
        <f>'P3'!Q11</f>
        <v>520767288</v>
      </c>
      <c r="O18" s="53">
        <f>'P3'!R11</f>
        <v>520767288</v>
      </c>
      <c r="P18" s="53">
        <f>'P3'!S11</f>
        <v>520767288</v>
      </c>
      <c r="Q18" s="53">
        <f>'P3'!T11</f>
        <v>520767288</v>
      </c>
      <c r="R18" s="53">
        <f>'P3'!U11</f>
        <v>520767288</v>
      </c>
      <c r="S18" s="53">
        <f>'P3'!V11</f>
        <v>520767288</v>
      </c>
      <c r="T18" s="53">
        <f>'P3'!W11</f>
        <v>520767288</v>
      </c>
      <c r="U18" s="53">
        <f>'P3'!X11</f>
        <v>520767288</v>
      </c>
      <c r="V18" s="53">
        <f>'P3'!Y11</f>
        <v>10740529210.194</v>
      </c>
      <c r="W18" s="205">
        <f t="shared" si="0"/>
        <v>2.6670267574076525E-3</v>
      </c>
    </row>
    <row r="19" spans="1:23" s="194" customFormat="1" ht="15" x14ac:dyDescent="0.2">
      <c r="A19" s="193" t="str">
        <f>Portafolio_Cadena_Maíz!C60</f>
        <v xml:space="preserve">4. Mejora de la gestión del agua y del suelo en el cultivo de maíz. </v>
      </c>
      <c r="B19" s="159">
        <f>'P4'!E7</f>
        <v>706550282.5</v>
      </c>
      <c r="C19" s="159">
        <f>'P4'!F7</f>
        <v>6375818191.2975283</v>
      </c>
      <c r="D19" s="159">
        <f>'P4'!G7</f>
        <v>5072797180.9921579</v>
      </c>
      <c r="E19" s="159">
        <f>'P4'!H7</f>
        <v>5106307181.5659819</v>
      </c>
      <c r="F19" s="159">
        <f>'P4'!I7</f>
        <v>5398523848.1008797</v>
      </c>
      <c r="G19" s="159">
        <f>'P4'!J7</f>
        <v>6414271734.3160105</v>
      </c>
      <c r="H19" s="159">
        <f>'P4'!K7</f>
        <v>7449962910.3792124</v>
      </c>
      <c r="I19" s="159">
        <f>'P4'!L7</f>
        <v>9145924801.4550552</v>
      </c>
      <c r="J19" s="159">
        <f>'P4'!M7</f>
        <v>10727946590.946068</v>
      </c>
      <c r="K19" s="159">
        <f>'P4'!N7</f>
        <v>13079505218.135281</v>
      </c>
      <c r="L19" s="159">
        <f>'P4'!O7</f>
        <v>10727946590.946068</v>
      </c>
      <c r="M19" s="159">
        <f>'P4'!P7</f>
        <v>8788326581.756855</v>
      </c>
      <c r="N19" s="159">
        <f>'P4'!Q7</f>
        <v>6865885818.2054834</v>
      </c>
      <c r="O19" s="159">
        <f>'P4'!R7</f>
        <v>5492708654.5643864</v>
      </c>
      <c r="P19" s="159">
        <f>'P4'!S7</f>
        <v>4394166923.6515093</v>
      </c>
      <c r="Q19" s="159">
        <f>'P4'!T7</f>
        <v>3515333538.9212074</v>
      </c>
      <c r="R19" s="159">
        <f>'P4'!U7</f>
        <v>2812266831.1369658</v>
      </c>
      <c r="S19" s="159">
        <f>'P4'!V7</f>
        <v>2249813464.9095731</v>
      </c>
      <c r="T19" s="159">
        <f>'P4'!W7</f>
        <v>1799850771.9276586</v>
      </c>
      <c r="U19" s="159">
        <f>'P4'!X7</f>
        <v>1439880617.5421269</v>
      </c>
      <c r="V19" s="159">
        <f>'P4'!Y7</f>
        <v>117563787733.25002</v>
      </c>
      <c r="W19" s="298">
        <f t="shared" si="0"/>
        <v>2.9192767083504625E-2</v>
      </c>
    </row>
    <row r="20" spans="1:23" s="194" customFormat="1" x14ac:dyDescent="0.2">
      <c r="A20" s="195" t="str">
        <f>Portafolio_Cadena_Maíz!D60</f>
        <v>4.1. Contribución a la gestión del ordenamiento ambiental, fuera de la frontera agrícola.</v>
      </c>
      <c r="B20" s="53">
        <f>'P4'!E8</f>
        <v>205969309</v>
      </c>
      <c r="C20" s="53">
        <f>'P4'!F8</f>
        <v>823877236</v>
      </c>
      <c r="D20" s="53">
        <f>'P4'!G8</f>
        <v>823877236</v>
      </c>
      <c r="E20" s="53">
        <f>'P4'!H8</f>
        <v>411938618</v>
      </c>
      <c r="F20" s="53">
        <f>'P4'!I8</f>
        <v>0</v>
      </c>
      <c r="G20" s="53">
        <f>'P4'!J8</f>
        <v>205969309</v>
      </c>
      <c r="H20" s="53">
        <f>'P4'!K8</f>
        <v>0</v>
      </c>
      <c r="I20" s="53">
        <f>'P4'!L8</f>
        <v>205969309</v>
      </c>
      <c r="J20" s="53">
        <f>'P4'!M8</f>
        <v>0</v>
      </c>
      <c r="K20" s="53">
        <f>'P4'!N8</f>
        <v>205969309</v>
      </c>
      <c r="L20" s="53">
        <f>'P4'!O8</f>
        <v>0</v>
      </c>
      <c r="M20" s="53">
        <f>'P4'!P8</f>
        <v>205969309</v>
      </c>
      <c r="N20" s="53">
        <f>'P4'!Q8</f>
        <v>0</v>
      </c>
      <c r="O20" s="53">
        <f>'P4'!R8</f>
        <v>0</v>
      </c>
      <c r="P20" s="53">
        <f>'P4'!S8</f>
        <v>0</v>
      </c>
      <c r="Q20" s="53">
        <f>'P4'!T8</f>
        <v>0</v>
      </c>
      <c r="R20" s="53">
        <f>'P4'!U8</f>
        <v>0</v>
      </c>
      <c r="S20" s="53">
        <f>'P4'!V8</f>
        <v>0</v>
      </c>
      <c r="T20" s="53">
        <f>'P4'!W8</f>
        <v>0</v>
      </c>
      <c r="U20" s="53">
        <f>'P4'!X8</f>
        <v>0</v>
      </c>
      <c r="V20" s="53">
        <f>'P4'!Y8</f>
        <v>3089539635</v>
      </c>
      <c r="W20" s="205">
        <f t="shared" si="0"/>
        <v>7.6717680417421816E-4</v>
      </c>
    </row>
    <row r="21" spans="1:23" s="194" customFormat="1" x14ac:dyDescent="0.2">
      <c r="A21" s="195" t="str">
        <f>Portafolio_Cadena_Maíz!D63</f>
        <v>4.2. Promoción del manejo eficiente del suelo y del agua, en la producción de maíz.</v>
      </c>
      <c r="B21" s="53">
        <f>'P4'!E9</f>
        <v>500580973.5</v>
      </c>
      <c r="C21" s="53">
        <f>'P4'!F9</f>
        <v>5551940955.2975283</v>
      </c>
      <c r="D21" s="53">
        <f>'P4'!G9</f>
        <v>4248919944.9921579</v>
      </c>
      <c r="E21" s="53">
        <f>'P4'!H9</f>
        <v>4694368563.5659819</v>
      </c>
      <c r="F21" s="53">
        <f>'P4'!I9</f>
        <v>5398523848.1008797</v>
      </c>
      <c r="G21" s="53">
        <f>'P4'!J9</f>
        <v>6208302425.3160105</v>
      </c>
      <c r="H21" s="53">
        <f>'P4'!K9</f>
        <v>7449962910.3792124</v>
      </c>
      <c r="I21" s="53">
        <f>'P4'!L9</f>
        <v>8939955492.4550552</v>
      </c>
      <c r="J21" s="53">
        <f>'P4'!M9</f>
        <v>10727946590.946068</v>
      </c>
      <c r="K21" s="53">
        <f>'P4'!N9</f>
        <v>12873535909.135281</v>
      </c>
      <c r="L21" s="53">
        <f>'P4'!O9</f>
        <v>10727946590.946068</v>
      </c>
      <c r="M21" s="53">
        <f>'P4'!P9</f>
        <v>8582357272.7568541</v>
      </c>
      <c r="N21" s="53">
        <f>'P4'!Q9</f>
        <v>6865885818.2054834</v>
      </c>
      <c r="O21" s="53">
        <f>'P4'!R9</f>
        <v>5492708654.5643864</v>
      </c>
      <c r="P21" s="53">
        <f>'P4'!S9</f>
        <v>4394166923.6515093</v>
      </c>
      <c r="Q21" s="53">
        <f>'P4'!T9</f>
        <v>3515333538.9212074</v>
      </c>
      <c r="R21" s="53">
        <f>'P4'!U9</f>
        <v>2812266831.1369658</v>
      </c>
      <c r="S21" s="53">
        <f>'P4'!V9</f>
        <v>2249813464.9095731</v>
      </c>
      <c r="T21" s="53">
        <f>'P4'!W9</f>
        <v>1799850771.9276586</v>
      </c>
      <c r="U21" s="53">
        <f>'P4'!X9</f>
        <v>1439880617.5421269</v>
      </c>
      <c r="V21" s="53">
        <f>'P4'!Y9</f>
        <v>114474248098.25002</v>
      </c>
      <c r="W21" s="205">
        <f t="shared" si="0"/>
        <v>2.8425590279330407E-2</v>
      </c>
    </row>
    <row r="22" spans="1:23" s="194" customFormat="1" ht="22.5" customHeight="1" x14ac:dyDescent="0.2">
      <c r="A22" s="193" t="str">
        <f>Portafolio_Cadena_Maíz!C70</f>
        <v>5. Fortalecimiento de la gestión ambiental en la cadena maicera.</v>
      </c>
      <c r="B22" s="159">
        <f>'P5'!E7</f>
        <v>674788448.37700009</v>
      </c>
      <c r="C22" s="159">
        <f>'P5'!F7</f>
        <v>2699153793.5080004</v>
      </c>
      <c r="D22" s="159">
        <f>'P5'!G7</f>
        <v>2699153793.5080004</v>
      </c>
      <c r="E22" s="159">
        <f>'P5'!H7</f>
        <v>2024365345.1310003</v>
      </c>
      <c r="F22" s="159">
        <f>'P5'!I7</f>
        <v>0</v>
      </c>
      <c r="G22" s="159">
        <f>'P5'!J7</f>
        <v>0</v>
      </c>
      <c r="H22" s="159">
        <f>'P5'!K7</f>
        <v>2699153793.5080004</v>
      </c>
      <c r="I22" s="159">
        <f>'P5'!L7</f>
        <v>0</v>
      </c>
      <c r="J22" s="159">
        <f>'P5'!M7</f>
        <v>0</v>
      </c>
      <c r="K22" s="159">
        <f>'P5'!N7</f>
        <v>2699153793.5080004</v>
      </c>
      <c r="L22" s="159">
        <f>'P5'!O7</f>
        <v>0</v>
      </c>
      <c r="M22" s="159">
        <f>'P5'!P7</f>
        <v>0</v>
      </c>
      <c r="N22" s="159">
        <f>'P5'!Q7</f>
        <v>2699153793.5080004</v>
      </c>
      <c r="O22" s="159">
        <f>'P5'!R7</f>
        <v>0</v>
      </c>
      <c r="P22" s="159">
        <f>'P5'!S7</f>
        <v>0</v>
      </c>
      <c r="Q22" s="159">
        <f>'P5'!T7</f>
        <v>2699153793.5080004</v>
      </c>
      <c r="R22" s="159">
        <f>'P5'!U7</f>
        <v>0</v>
      </c>
      <c r="S22" s="159">
        <f>'P5'!V7</f>
        <v>0</v>
      </c>
      <c r="T22" s="159">
        <f>'P5'!W7</f>
        <v>2699153793.5080004</v>
      </c>
      <c r="U22" s="159">
        <f>'P5'!X7</f>
        <v>0</v>
      </c>
      <c r="V22" s="159">
        <f>'P5'!Y7</f>
        <v>21593230348.063999</v>
      </c>
      <c r="W22" s="298">
        <f t="shared" si="0"/>
        <v>5.3619074060609929E-3</v>
      </c>
    </row>
    <row r="23" spans="1:23" s="194" customFormat="1" x14ac:dyDescent="0.2">
      <c r="A23" s="195" t="str">
        <f>Portafolio_Cadena_Maíz!D70</f>
        <v>5.1. Mejora del desempeño ambiental de la cadena de maíz.</v>
      </c>
      <c r="B23" s="53">
        <f>'P5'!E8</f>
        <v>674788448.37700009</v>
      </c>
      <c r="C23" s="53">
        <f>'P5'!F8</f>
        <v>2699153793.5080004</v>
      </c>
      <c r="D23" s="53">
        <f>'P5'!G8</f>
        <v>2699153793.5080004</v>
      </c>
      <c r="E23" s="53">
        <f>'P5'!H8</f>
        <v>2024365345.1310003</v>
      </c>
      <c r="F23" s="53" t="str">
        <f>'P5'!I8</f>
        <v>Por definir</v>
      </c>
      <c r="G23" s="53" t="str">
        <f>'P5'!J8</f>
        <v>Por definir</v>
      </c>
      <c r="H23" s="53">
        <f>'P5'!K8</f>
        <v>2699153793.5080004</v>
      </c>
      <c r="I23" s="53" t="str">
        <f>'P5'!L8</f>
        <v>Por definir</v>
      </c>
      <c r="J23" s="53" t="str">
        <f>'P5'!M8</f>
        <v>Por definir</v>
      </c>
      <c r="K23" s="53">
        <f>'P5'!N8</f>
        <v>2699153793.5080004</v>
      </c>
      <c r="L23" s="53" t="str">
        <f>'P5'!O8</f>
        <v>Por definir</v>
      </c>
      <c r="M23" s="53" t="str">
        <f>'P5'!P8</f>
        <v>Por definir</v>
      </c>
      <c r="N23" s="53">
        <f>'P5'!Q8</f>
        <v>2699153793.5080004</v>
      </c>
      <c r="O23" s="53" t="str">
        <f>'P5'!R8</f>
        <v>Por definir</v>
      </c>
      <c r="P23" s="53" t="str">
        <f>'P5'!S8</f>
        <v>Por definir</v>
      </c>
      <c r="Q23" s="53">
        <f>'P5'!T8</f>
        <v>2699153793.5080004</v>
      </c>
      <c r="R23" s="53" t="str">
        <f>'P5'!U8</f>
        <v>Por definir</v>
      </c>
      <c r="S23" s="53" t="str">
        <f>'P5'!V8</f>
        <v>Por definir</v>
      </c>
      <c r="T23" s="53">
        <f>'P5'!W8</f>
        <v>2699153793.5080004</v>
      </c>
      <c r="U23" s="53" t="str">
        <f>'P5'!X8</f>
        <v>Por definir</v>
      </c>
      <c r="V23" s="53">
        <f>'P5'!Y8</f>
        <v>21593230348.063999</v>
      </c>
      <c r="W23" s="205">
        <f t="shared" si="0"/>
        <v>5.3619074060609929E-3</v>
      </c>
    </row>
    <row r="24" spans="1:23" s="194" customFormat="1" ht="30" x14ac:dyDescent="0.2">
      <c r="A24" s="193" t="str">
        <f>Portafolio_Cadena_Maíz!C77</f>
        <v xml:space="preserve">6. Contribución al mejoramiento en las condiciones de vida de la población vinculada a la cadena de maíz. </v>
      </c>
      <c r="B24" s="159">
        <f>'P6'!E7</f>
        <v>1782446860.0999999</v>
      </c>
      <c r="C24" s="159">
        <f>'P6'!F7</f>
        <v>7129787440.3999996</v>
      </c>
      <c r="D24" s="159">
        <f>'P6'!G7</f>
        <v>7129787440.3999996</v>
      </c>
      <c r="E24" s="159">
        <f>'P6'!H7</f>
        <v>6531012754.3999996</v>
      </c>
      <c r="F24" s="159">
        <f>'P6'!I7</f>
        <v>6531012754.3999996</v>
      </c>
      <c r="G24" s="159">
        <f>'P6'!J7</f>
        <v>6531012754.3999996</v>
      </c>
      <c r="H24" s="159">
        <f>'P6'!K7</f>
        <v>7129787440.3999996</v>
      </c>
      <c r="I24" s="159">
        <f>'P6'!L7</f>
        <v>6531012754.3999996</v>
      </c>
      <c r="J24" s="159">
        <f>'P6'!M7</f>
        <v>6531012754.3999996</v>
      </c>
      <c r="K24" s="159">
        <f>'P6'!N7</f>
        <v>6531012754.3999996</v>
      </c>
      <c r="L24" s="159">
        <f>'P6'!O7</f>
        <v>7129787440.3999996</v>
      </c>
      <c r="M24" s="159">
        <f>'P6'!P7</f>
        <v>6531012754.3999996</v>
      </c>
      <c r="N24" s="159">
        <f>'P6'!Q7</f>
        <v>6531012754.3999996</v>
      </c>
      <c r="O24" s="159">
        <f>'P6'!R7</f>
        <v>6531012754.3999996</v>
      </c>
      <c r="P24" s="159">
        <f>'P6'!S7</f>
        <v>7129787440.3999996</v>
      </c>
      <c r="Q24" s="159">
        <f>'P6'!T7</f>
        <v>6531012754.3999996</v>
      </c>
      <c r="R24" s="159">
        <f>'P6'!U7</f>
        <v>6531012754.3999996</v>
      </c>
      <c r="S24" s="159">
        <f>'P6'!V7</f>
        <v>6531012754.3999996</v>
      </c>
      <c r="T24" s="159">
        <f>'P6'!W7</f>
        <v>7129787440.3999996</v>
      </c>
      <c r="U24" s="159">
        <f>'P6'!X7</f>
        <v>4064258048</v>
      </c>
      <c r="V24" s="159">
        <f>'P6'!Y7</f>
        <v>126997582603.30002</v>
      </c>
      <c r="W24" s="298">
        <f t="shared" si="0"/>
        <v>3.1535313046550696E-2</v>
      </c>
    </row>
    <row r="25" spans="1:23" s="194" customFormat="1" x14ac:dyDescent="0.2">
      <c r="A25" s="195" t="str">
        <f>Portafolio_Cadena_Maíz!D77</f>
        <v>6.1  Promoción de la atención de las necesidades básicas de los actores vinculados a la cadena.</v>
      </c>
      <c r="B25" s="53">
        <f>'P6'!E8</f>
        <v>839055476</v>
      </c>
      <c r="C25" s="53">
        <f>'P6'!F8</f>
        <v>3356221904</v>
      </c>
      <c r="D25" s="53">
        <f>'P6'!G8</f>
        <v>3356221904</v>
      </c>
      <c r="E25" s="53">
        <f>'P6'!H8</f>
        <v>3356221904</v>
      </c>
      <c r="F25" s="53">
        <f>'P6'!I8</f>
        <v>3356221904</v>
      </c>
      <c r="G25" s="53">
        <f>'P6'!J8</f>
        <v>3356221904</v>
      </c>
      <c r="H25" s="53">
        <f>'P6'!K8</f>
        <v>3356221904</v>
      </c>
      <c r="I25" s="53">
        <f>'P6'!L8</f>
        <v>3356221904</v>
      </c>
      <c r="J25" s="53">
        <f>'P6'!M8</f>
        <v>3356221904</v>
      </c>
      <c r="K25" s="53">
        <f>'P6'!N8</f>
        <v>3356221904</v>
      </c>
      <c r="L25" s="53">
        <f>'P6'!O8</f>
        <v>3356221904</v>
      </c>
      <c r="M25" s="53">
        <f>'P6'!P8</f>
        <v>3356221904</v>
      </c>
      <c r="N25" s="53">
        <f>'P6'!Q8</f>
        <v>3356221904</v>
      </c>
      <c r="O25" s="53">
        <f>'P6'!R8</f>
        <v>3356221904</v>
      </c>
      <c r="P25" s="53">
        <f>'P6'!S8</f>
        <v>3356221904</v>
      </c>
      <c r="Q25" s="53">
        <f>'P6'!T8</f>
        <v>3356221904</v>
      </c>
      <c r="R25" s="53">
        <f>'P6'!U8</f>
        <v>3356221904</v>
      </c>
      <c r="S25" s="53">
        <f>'P6'!V8</f>
        <v>3356221904</v>
      </c>
      <c r="T25" s="53">
        <f>'P6'!W8</f>
        <v>3356221904</v>
      </c>
      <c r="U25" s="53">
        <f>'P6'!X8</f>
        <v>3356221904</v>
      </c>
      <c r="V25" s="53">
        <f>'P6'!Y8</f>
        <v>64607271652</v>
      </c>
      <c r="W25" s="205">
        <f t="shared" si="0"/>
        <v>1.6042908021277714E-2</v>
      </c>
    </row>
    <row r="26" spans="1:23" s="194" customFormat="1" x14ac:dyDescent="0.2">
      <c r="A26" s="195" t="str">
        <f>Portafolio_Cadena_Maíz!D82</f>
        <v>6.2. Contribución al incremento del nivel educativo de los actores vinculados a la cadena.</v>
      </c>
      <c r="B26" s="53">
        <f>'P6'!E9</f>
        <v>177009036</v>
      </c>
      <c r="C26" s="53">
        <f>'P6'!F9</f>
        <v>708036144</v>
      </c>
      <c r="D26" s="53">
        <f>'P6'!G9</f>
        <v>708036144</v>
      </c>
      <c r="E26" s="53">
        <f>'P6'!H9</f>
        <v>708036144</v>
      </c>
      <c r="F26" s="53">
        <f>'P6'!I9</f>
        <v>708036144</v>
      </c>
      <c r="G26" s="53">
        <f>'P6'!J9</f>
        <v>708036144</v>
      </c>
      <c r="H26" s="53">
        <f>'P6'!K9</f>
        <v>708036144</v>
      </c>
      <c r="I26" s="53">
        <f>'P6'!L9</f>
        <v>708036144</v>
      </c>
      <c r="J26" s="53">
        <f>'P6'!M9</f>
        <v>708036144</v>
      </c>
      <c r="K26" s="53">
        <f>'P6'!N9</f>
        <v>708036144</v>
      </c>
      <c r="L26" s="53">
        <f>'P6'!O9</f>
        <v>708036144</v>
      </c>
      <c r="M26" s="53">
        <f>'P6'!P9</f>
        <v>708036144</v>
      </c>
      <c r="N26" s="53">
        <f>'P6'!Q9</f>
        <v>708036144</v>
      </c>
      <c r="O26" s="53">
        <f>'P6'!R9</f>
        <v>708036144</v>
      </c>
      <c r="P26" s="53">
        <f>'P6'!S9</f>
        <v>708036144</v>
      </c>
      <c r="Q26" s="53">
        <f>'P6'!T9</f>
        <v>708036144</v>
      </c>
      <c r="R26" s="53">
        <f>'P6'!U9</f>
        <v>708036144</v>
      </c>
      <c r="S26" s="53">
        <f>'P6'!V9</f>
        <v>708036144</v>
      </c>
      <c r="T26" s="53">
        <f>'P6'!W9</f>
        <v>708036144</v>
      </c>
      <c r="U26" s="53">
        <f>'P6'!X9</f>
        <v>708036144</v>
      </c>
      <c r="V26" s="53">
        <f>'P6'!Y9</f>
        <v>13629695772</v>
      </c>
      <c r="W26" s="205">
        <f t="shared" si="0"/>
        <v>3.3844480665579202E-3</v>
      </c>
    </row>
    <row r="27" spans="1:23" s="194" customFormat="1" ht="28.5" x14ac:dyDescent="0.2">
      <c r="A27" s="195" t="str">
        <f>Portafolio_Cadena_Maíz!D86</f>
        <v>6.3. Promoción al  acceso en la seguridad social y mejora en las condiciones laborales a lo largo de la cadena</v>
      </c>
      <c r="B27" s="53">
        <f>'P6'!E10</f>
        <v>616688676.60000002</v>
      </c>
      <c r="C27" s="53">
        <f>'P6'!F10</f>
        <v>2466754706.4000001</v>
      </c>
      <c r="D27" s="53">
        <f>'P6'!G10</f>
        <v>2466754706.4000001</v>
      </c>
      <c r="E27" s="53">
        <f>'P6'!H10</f>
        <v>2466754706.4000001</v>
      </c>
      <c r="F27" s="53">
        <f>'P6'!I10</f>
        <v>2466754706.4000001</v>
      </c>
      <c r="G27" s="53">
        <f>'P6'!J10</f>
        <v>2466754706.4000001</v>
      </c>
      <c r="H27" s="53">
        <f>'P6'!K10</f>
        <v>2466754706.4000001</v>
      </c>
      <c r="I27" s="53">
        <f>'P6'!L10</f>
        <v>2466754706.4000001</v>
      </c>
      <c r="J27" s="53">
        <f>'P6'!M10</f>
        <v>2466754706.4000001</v>
      </c>
      <c r="K27" s="53">
        <f>'P6'!N10</f>
        <v>2466754706.4000001</v>
      </c>
      <c r="L27" s="53">
        <f>'P6'!O10</f>
        <v>2466754706.4000001</v>
      </c>
      <c r="M27" s="53">
        <f>'P6'!P10</f>
        <v>2466754706.4000001</v>
      </c>
      <c r="N27" s="53">
        <f>'P6'!Q10</f>
        <v>2466754706.4000001</v>
      </c>
      <c r="O27" s="53">
        <f>'P6'!R10</f>
        <v>2466754706.4000001</v>
      </c>
      <c r="P27" s="53">
        <f>'P6'!S10</f>
        <v>2466754706.4000001</v>
      </c>
      <c r="Q27" s="53">
        <f>'P6'!T10</f>
        <v>2466754706.4000001</v>
      </c>
      <c r="R27" s="53">
        <f>'P6'!U10</f>
        <v>2466754706.4000001</v>
      </c>
      <c r="S27" s="53">
        <f>'P6'!V10</f>
        <v>2466754706.4000001</v>
      </c>
      <c r="T27" s="53">
        <f>'P6'!W10</f>
        <v>2466754706.4000001</v>
      </c>
      <c r="U27" s="53">
        <f>'P6'!X10</f>
        <v>0</v>
      </c>
      <c r="V27" s="53">
        <f>'P6'!Y10</f>
        <v>45018273391.800011</v>
      </c>
      <c r="W27" s="205">
        <f t="shared" si="0"/>
        <v>1.1178680059290571E-2</v>
      </c>
    </row>
    <row r="28" spans="1:23" s="194" customFormat="1" ht="28.5" x14ac:dyDescent="0.2">
      <c r="A28" s="195" t="str">
        <f>Portafolio_Cadena_Maíz!D90</f>
        <v>6.4. Contribución a la mejora de condiciones de conectividad vial y de servicios públicos, en las regiones maiceras.</v>
      </c>
      <c r="B28" s="53">
        <f>'P6'!E11</f>
        <v>149693671.5</v>
      </c>
      <c r="C28" s="53">
        <f>'P6'!F11</f>
        <v>598774686</v>
      </c>
      <c r="D28" s="53">
        <f>'P6'!G11</f>
        <v>598774686</v>
      </c>
      <c r="E28" s="53">
        <f>'P6'!H11</f>
        <v>0</v>
      </c>
      <c r="F28" s="53">
        <f>'P6'!I11</f>
        <v>0</v>
      </c>
      <c r="G28" s="53">
        <f>'P6'!J11</f>
        <v>0</v>
      </c>
      <c r="H28" s="53">
        <f>'P6'!K11</f>
        <v>598774686</v>
      </c>
      <c r="I28" s="53">
        <f>'P6'!L11</f>
        <v>0</v>
      </c>
      <c r="J28" s="53">
        <f>'P6'!M11</f>
        <v>0</v>
      </c>
      <c r="K28" s="53">
        <f>'P6'!N11</f>
        <v>0</v>
      </c>
      <c r="L28" s="53">
        <f>'P6'!O11</f>
        <v>598774686</v>
      </c>
      <c r="M28" s="53">
        <f>'P6'!P11</f>
        <v>0</v>
      </c>
      <c r="N28" s="53">
        <f>'P6'!Q11</f>
        <v>0</v>
      </c>
      <c r="O28" s="53">
        <f>'P6'!R11</f>
        <v>0</v>
      </c>
      <c r="P28" s="53">
        <f>'P6'!S11</f>
        <v>598774686</v>
      </c>
      <c r="Q28" s="53">
        <f>'P6'!T11</f>
        <v>0</v>
      </c>
      <c r="R28" s="53">
        <f>'P6'!U11</f>
        <v>0</v>
      </c>
      <c r="S28" s="53">
        <f>'P6'!V11</f>
        <v>0</v>
      </c>
      <c r="T28" s="53">
        <f>'P6'!W11</f>
        <v>598774686</v>
      </c>
      <c r="U28" s="53">
        <f>'P6'!X11</f>
        <v>0</v>
      </c>
      <c r="V28" s="53">
        <f>'P6'!Y11</f>
        <v>3742341787.5</v>
      </c>
      <c r="W28" s="205">
        <f t="shared" si="0"/>
        <v>9.2927689942449336E-4</v>
      </c>
    </row>
    <row r="29" spans="1:23" s="194" customFormat="1" ht="15" x14ac:dyDescent="0.2">
      <c r="A29" s="193" t="str">
        <f>Portafolio_Cadena_Maíz!C93</f>
        <v>7. Contribución al ordenamiento productivo y social de la propiedad.</v>
      </c>
      <c r="B29" s="159">
        <f>'P7'!E7</f>
        <v>714210270.5</v>
      </c>
      <c r="C29" s="159">
        <f>'P7'!F7</f>
        <v>2856841082</v>
      </c>
      <c r="D29" s="159">
        <f>'P7'!G7</f>
        <v>2856841082</v>
      </c>
      <c r="E29" s="159">
        <f>'P7'!H7</f>
        <v>2856841082</v>
      </c>
      <c r="F29" s="159">
        <f>'P7'!I7</f>
        <v>2856841082</v>
      </c>
      <c r="G29" s="159">
        <f>'P7'!J7</f>
        <v>2673166650</v>
      </c>
      <c r="H29" s="159">
        <f>'P7'!K7</f>
        <v>2673166650</v>
      </c>
      <c r="I29" s="159">
        <f>'P7'!L7</f>
        <v>2673166650</v>
      </c>
      <c r="J29" s="159">
        <f>'P7'!M7</f>
        <v>2673166650</v>
      </c>
      <c r="K29" s="159">
        <f>'P7'!N7</f>
        <v>2673166650</v>
      </c>
      <c r="L29" s="159">
        <f>'P7'!O7</f>
        <v>2673166650</v>
      </c>
      <c r="M29" s="159">
        <f>'P7'!P7</f>
        <v>2673166650</v>
      </c>
      <c r="N29" s="159">
        <f>'P7'!Q7</f>
        <v>2673166650</v>
      </c>
      <c r="O29" s="159">
        <f>'P7'!R7</f>
        <v>2673166650</v>
      </c>
      <c r="P29" s="159">
        <f>'P7'!S7</f>
        <v>2673166650</v>
      </c>
      <c r="Q29" s="159">
        <f>'P7'!T7</f>
        <v>2673166650</v>
      </c>
      <c r="R29" s="159">
        <f>'P7'!U7</f>
        <v>2673166650</v>
      </c>
      <c r="S29" s="159">
        <f>'P7'!V7</f>
        <v>2673166650</v>
      </c>
      <c r="T29" s="159">
        <f>'P7'!W7</f>
        <v>2673166650</v>
      </c>
      <c r="U29" s="159">
        <f>'P7'!X7</f>
        <v>2673166650</v>
      </c>
      <c r="V29" s="159">
        <f>'P7'!Y7</f>
        <v>52239074348.5</v>
      </c>
      <c r="W29" s="298">
        <f t="shared" ref="W29:W35" si="1">V29/V$42</f>
        <v>1.2971708036269165E-2</v>
      </c>
    </row>
    <row r="30" spans="1:23" s="194" customFormat="1" ht="28.5" x14ac:dyDescent="0.2">
      <c r="A30" s="195" t="str">
        <f>Portafolio_Cadena_Maíz!D93</f>
        <v>7.1. Articulación con las políticas de ordenamiento productivo y social de la propiedad rural para el cultivo de maíz.</v>
      </c>
      <c r="B30" s="53">
        <f>'P7'!E8</f>
        <v>184975747.5</v>
      </c>
      <c r="C30" s="53">
        <f>'P7'!F8</f>
        <v>739902990</v>
      </c>
      <c r="D30" s="53">
        <f>'P7'!G8</f>
        <v>739902990</v>
      </c>
      <c r="E30" s="53">
        <f>'P7'!H8</f>
        <v>739902990</v>
      </c>
      <c r="F30" s="53">
        <f>'P7'!I8</f>
        <v>739902990</v>
      </c>
      <c r="G30" s="53">
        <f>'P7'!J8</f>
        <v>739902990</v>
      </c>
      <c r="H30" s="53">
        <f>'P7'!K8</f>
        <v>739902990</v>
      </c>
      <c r="I30" s="53">
        <f>'P7'!L8</f>
        <v>739902990</v>
      </c>
      <c r="J30" s="53">
        <f>'P7'!M8</f>
        <v>739902990</v>
      </c>
      <c r="K30" s="53">
        <f>'P7'!N8</f>
        <v>739902990</v>
      </c>
      <c r="L30" s="53">
        <f>'P7'!O8</f>
        <v>739902990</v>
      </c>
      <c r="M30" s="53">
        <f>'P7'!P8</f>
        <v>739902990</v>
      </c>
      <c r="N30" s="53">
        <f>'P7'!Q8</f>
        <v>739902990</v>
      </c>
      <c r="O30" s="53">
        <f>'P7'!R8</f>
        <v>739902990</v>
      </c>
      <c r="P30" s="53">
        <f>'P7'!S8</f>
        <v>739902990</v>
      </c>
      <c r="Q30" s="53">
        <f>'P7'!T8</f>
        <v>739902990</v>
      </c>
      <c r="R30" s="53">
        <f>'P7'!U8</f>
        <v>739902990</v>
      </c>
      <c r="S30" s="53">
        <f>'P7'!V8</f>
        <v>739902990</v>
      </c>
      <c r="T30" s="53">
        <f>'P7'!W8</f>
        <v>739902990</v>
      </c>
      <c r="U30" s="53">
        <f>'P7'!X8</f>
        <v>739902990</v>
      </c>
      <c r="V30" s="53">
        <f>'P7'!Y8</f>
        <v>14243132557.5</v>
      </c>
      <c r="W30" s="205">
        <f t="shared" si="1"/>
        <v>3.5367731791188391E-3</v>
      </c>
    </row>
    <row r="31" spans="1:23" s="194" customFormat="1" ht="28.5" x14ac:dyDescent="0.2">
      <c r="A31" s="195" t="str">
        <f>Portafolio_Cadena_Maíz!D99</f>
        <v xml:space="preserve">7.2  Fortalecimiento en el acceso y la seguridad jurídica de los predios e inversiones para el cultivo de maíz. </v>
      </c>
      <c r="B31" s="53">
        <f>'P7'!E9</f>
        <v>529234523</v>
      </c>
      <c r="C31" s="53">
        <f>'P7'!F9</f>
        <v>2116938092</v>
      </c>
      <c r="D31" s="53">
        <f>'P7'!G9</f>
        <v>2116938092</v>
      </c>
      <c r="E31" s="53">
        <f>'P7'!H9</f>
        <v>2116938092</v>
      </c>
      <c r="F31" s="53">
        <f>'P7'!I9</f>
        <v>2116938092</v>
      </c>
      <c r="G31" s="53">
        <f>'P7'!J9</f>
        <v>1933263660</v>
      </c>
      <c r="H31" s="53">
        <f>'P7'!K9</f>
        <v>1933263660</v>
      </c>
      <c r="I31" s="53">
        <f>'P7'!L9</f>
        <v>1933263660</v>
      </c>
      <c r="J31" s="53">
        <f>'P7'!M9</f>
        <v>1933263660</v>
      </c>
      <c r="K31" s="53">
        <f>'P7'!N9</f>
        <v>1933263660</v>
      </c>
      <c r="L31" s="53">
        <f>'P7'!O9</f>
        <v>1933263660</v>
      </c>
      <c r="M31" s="53">
        <f>'P7'!P9</f>
        <v>1933263660</v>
      </c>
      <c r="N31" s="53">
        <f>'P7'!Q9</f>
        <v>1933263660</v>
      </c>
      <c r="O31" s="53">
        <f>'P7'!R9</f>
        <v>1933263660</v>
      </c>
      <c r="P31" s="53">
        <f>'P7'!S9</f>
        <v>1933263660</v>
      </c>
      <c r="Q31" s="53">
        <f>'P7'!T9</f>
        <v>1933263660</v>
      </c>
      <c r="R31" s="53">
        <f>'P7'!U9</f>
        <v>1933263660</v>
      </c>
      <c r="S31" s="53">
        <f>'P7'!V9</f>
        <v>1933263660</v>
      </c>
      <c r="T31" s="53">
        <f>'P7'!W9</f>
        <v>1933263660</v>
      </c>
      <c r="U31" s="53">
        <f>'P7'!X9</f>
        <v>1933263660</v>
      </c>
      <c r="V31" s="53">
        <f>'P7'!Y9</f>
        <v>37995941791</v>
      </c>
      <c r="W31" s="205">
        <f t="shared" si="1"/>
        <v>9.4349348571503271E-3</v>
      </c>
    </row>
    <row r="32" spans="1:23" s="194" customFormat="1" ht="15" x14ac:dyDescent="0.2">
      <c r="A32" s="193" t="str">
        <f>Portafolio_Cadena_Maíz!C103</f>
        <v>8. Fortalecimiento del desarrollo tecnológico y la innovación en la cadena de maíz.</v>
      </c>
      <c r="B32" s="159">
        <f>'P8'!E7</f>
        <v>1372151353.5009999</v>
      </c>
      <c r="C32" s="159">
        <f>'P8'!F7</f>
        <v>4006419856.0019999</v>
      </c>
      <c r="D32" s="159">
        <f>'P8'!G7</f>
        <v>4006419856.0019999</v>
      </c>
      <c r="E32" s="159">
        <f>'P8'!H7</f>
        <v>3375361281.5019999</v>
      </c>
      <c r="F32" s="159">
        <f>'P8'!I7</f>
        <v>1482185558.0020001</v>
      </c>
      <c r="G32" s="159">
        <f>'P8'!J7</f>
        <v>370546389.50050002</v>
      </c>
      <c r="H32" s="159">
        <f>'P8'!K7</f>
        <v>2524234298</v>
      </c>
      <c r="I32" s="159">
        <f>'P8'!L7</f>
        <v>0</v>
      </c>
      <c r="J32" s="159">
        <f>'P8'!M7</f>
        <v>0</v>
      </c>
      <c r="K32" s="159">
        <f>'P8'!N7</f>
        <v>2524234298</v>
      </c>
      <c r="L32" s="159">
        <f>'P8'!O7</f>
        <v>0</v>
      </c>
      <c r="M32" s="159">
        <f>'P8'!P7</f>
        <v>0</v>
      </c>
      <c r="N32" s="159">
        <f>'P8'!Q7</f>
        <v>2524234298</v>
      </c>
      <c r="O32" s="159">
        <f>'P8'!R7</f>
        <v>0</v>
      </c>
      <c r="P32" s="159">
        <f>'P8'!S7</f>
        <v>0</v>
      </c>
      <c r="Q32" s="159">
        <f>'P8'!T7</f>
        <v>2524234298</v>
      </c>
      <c r="R32" s="159">
        <f>'P8'!U7</f>
        <v>0</v>
      </c>
      <c r="S32" s="159">
        <f>'P8'!V7</f>
        <v>0</v>
      </c>
      <c r="T32" s="159">
        <f>'P8'!W7</f>
        <v>2524234298</v>
      </c>
      <c r="U32" s="159">
        <f>'P8'!X7</f>
        <v>0</v>
      </c>
      <c r="V32" s="159">
        <f>'P8'!Y7</f>
        <v>27234255784.509499</v>
      </c>
      <c r="W32" s="298">
        <f t="shared" si="1"/>
        <v>6.762654565143072E-3</v>
      </c>
    </row>
    <row r="33" spans="1:23" s="194" customFormat="1" x14ac:dyDescent="0.2">
      <c r="A33" s="195" t="str">
        <f>Portafolio_Cadena_Maíz!D103</f>
        <v>8.1. Fortalecimiento de los procesos I+D+i para la cadena de maíz y sus derivados.</v>
      </c>
      <c r="B33" s="53">
        <f>'P8'!E8</f>
        <v>741092779.00100005</v>
      </c>
      <c r="C33" s="53">
        <f>'P8'!F8</f>
        <v>1482185558.0020001</v>
      </c>
      <c r="D33" s="53">
        <f>'P8'!G8</f>
        <v>1482185558.0020001</v>
      </c>
      <c r="E33" s="53">
        <f>'P8'!H8</f>
        <v>1482185558.0020001</v>
      </c>
      <c r="F33" s="53">
        <f>'P8'!I8</f>
        <v>1482185558.0020001</v>
      </c>
      <c r="G33" s="53">
        <f>'P8'!J8</f>
        <v>370546389.50050002</v>
      </c>
      <c r="H33" s="53" t="str">
        <f>'P8'!K8</f>
        <v>Por definir</v>
      </c>
      <c r="I33" s="53" t="str">
        <f>'P8'!L8</f>
        <v>Por definir</v>
      </c>
      <c r="J33" s="53" t="str">
        <f>'P8'!M8</f>
        <v>Por definir</v>
      </c>
      <c r="K33" s="53" t="str">
        <f>'P8'!N8</f>
        <v>Por definir</v>
      </c>
      <c r="L33" s="53" t="str">
        <f>'P8'!O8</f>
        <v>Por definir</v>
      </c>
      <c r="M33" s="53" t="str">
        <f>'P8'!P8</f>
        <v>Por definir</v>
      </c>
      <c r="N33" s="53" t="str">
        <f>'P8'!Q8</f>
        <v>Por definir</v>
      </c>
      <c r="O33" s="53" t="str">
        <f>'P8'!R8</f>
        <v>Por definir</v>
      </c>
      <c r="P33" s="53" t="str">
        <f>'P8'!S8</f>
        <v>Por definir</v>
      </c>
      <c r="Q33" s="53" t="str">
        <f>'P8'!T8</f>
        <v>Por definir</v>
      </c>
      <c r="R33" s="53" t="str">
        <f>'P8'!U8</f>
        <v>Por definir</v>
      </c>
      <c r="S33" s="53" t="str">
        <f>'P8'!V8</f>
        <v>Por definir</v>
      </c>
      <c r="T33" s="53" t="str">
        <f>'P8'!W8</f>
        <v>Por definir</v>
      </c>
      <c r="U33" s="53" t="str">
        <f>'P8'!X8</f>
        <v>Por definir</v>
      </c>
      <c r="V33" s="53">
        <f>'P8'!Y8</f>
        <v>7040381400.5094995</v>
      </c>
      <c r="W33" s="205">
        <f t="shared" si="1"/>
        <v>1.7482272251252357E-3</v>
      </c>
    </row>
    <row r="34" spans="1:23" s="194" customFormat="1" x14ac:dyDescent="0.2">
      <c r="A34" s="195" t="str">
        <f>Portafolio_Cadena_Maíz!D111</f>
        <v>8.2. Fortalecimiento del talento humano en I+D+i, y en extensionismo agrícola e industrial.</v>
      </c>
      <c r="B34" s="53">
        <f>'P8'!E9</f>
        <v>631058574.5</v>
      </c>
      <c r="C34" s="53">
        <f>'P8'!F9</f>
        <v>2524234298</v>
      </c>
      <c r="D34" s="53">
        <f>'P8'!G9</f>
        <v>2524234298</v>
      </c>
      <c r="E34" s="53">
        <f>'P8'!H9</f>
        <v>1893175723.5</v>
      </c>
      <c r="F34" s="53" t="str">
        <f>'P8'!I9</f>
        <v>Por definir</v>
      </c>
      <c r="G34" s="53" t="str">
        <f>'P8'!J9</f>
        <v>Por definir</v>
      </c>
      <c r="H34" s="53">
        <f>'P8'!K9</f>
        <v>2524234298</v>
      </c>
      <c r="I34" s="53" t="str">
        <f>'P8'!L9</f>
        <v>Por definir</v>
      </c>
      <c r="J34" s="53" t="str">
        <f>'P8'!M9</f>
        <v>Por definir</v>
      </c>
      <c r="K34" s="53">
        <f>'P8'!N9</f>
        <v>2524234298</v>
      </c>
      <c r="L34" s="53" t="str">
        <f>'P8'!O9</f>
        <v>Por definir</v>
      </c>
      <c r="M34" s="53" t="str">
        <f>'P8'!P9</f>
        <v>Por definir</v>
      </c>
      <c r="N34" s="53">
        <f>'P8'!Q9</f>
        <v>2524234298</v>
      </c>
      <c r="O34" s="53" t="str">
        <f>'P8'!R9</f>
        <v>Por definir</v>
      </c>
      <c r="P34" s="53" t="str">
        <f>'P8'!S9</f>
        <v>Por definir</v>
      </c>
      <c r="Q34" s="53">
        <f>'P8'!T9</f>
        <v>2524234298</v>
      </c>
      <c r="R34" s="53" t="str">
        <f>'P8'!U9</f>
        <v>Por definir</v>
      </c>
      <c r="S34" s="53" t="str">
        <f>'P8'!V9</f>
        <v>Por definir</v>
      </c>
      <c r="T34" s="53">
        <f>'P8'!W9</f>
        <v>2524234298</v>
      </c>
      <c r="U34" s="53" t="str">
        <f>'P8'!X9</f>
        <v>Por definir</v>
      </c>
      <c r="V34" s="53">
        <f>'P8'!Y9</f>
        <v>20193874384</v>
      </c>
      <c r="W34" s="205">
        <f t="shared" si="1"/>
        <v>5.0144273400178361E-3</v>
      </c>
    </row>
    <row r="35" spans="1:23" s="194" customFormat="1" ht="15" x14ac:dyDescent="0.2">
      <c r="A35" s="193" t="str">
        <f>Portafolio_Cadena_Maíz!C118</f>
        <v>9. Fortalecimiento de la gestión institucional de la cadena de maíz</v>
      </c>
      <c r="B35" s="159">
        <f>'P9'!E7</f>
        <v>2881306180</v>
      </c>
      <c r="C35" s="159">
        <f>'P9'!F7</f>
        <v>2504495959.75</v>
      </c>
      <c r="D35" s="159">
        <f>'P9'!G7</f>
        <v>675685534</v>
      </c>
      <c r="E35" s="159">
        <f>'P9'!H7</f>
        <v>0</v>
      </c>
      <c r="F35" s="159">
        <f>'P9'!I7</f>
        <v>0</v>
      </c>
      <c r="G35" s="159">
        <f>'P9'!J7</f>
        <v>1547336232.75</v>
      </c>
      <c r="H35" s="159">
        <f>'P9'!K7</f>
        <v>0</v>
      </c>
      <c r="I35" s="159">
        <f>'P9'!L7</f>
        <v>0</v>
      </c>
      <c r="J35" s="159">
        <f>'P9'!M7</f>
        <v>0</v>
      </c>
      <c r="K35" s="159">
        <f>'P9'!N7</f>
        <v>652978695.75</v>
      </c>
      <c r="L35" s="159">
        <f>'P9'!O7</f>
        <v>894357537</v>
      </c>
      <c r="M35" s="159">
        <f>'P9'!P7</f>
        <v>0</v>
      </c>
      <c r="N35" s="159">
        <f>'P9'!Q7</f>
        <v>0</v>
      </c>
      <c r="O35" s="159">
        <f>'P9'!R7</f>
        <v>0</v>
      </c>
      <c r="P35" s="159">
        <f>'P9'!S7</f>
        <v>652978695.75</v>
      </c>
      <c r="Q35" s="159">
        <f>'P9'!T7</f>
        <v>894357537</v>
      </c>
      <c r="R35" s="159">
        <f>'P9'!U7</f>
        <v>0</v>
      </c>
      <c r="S35" s="159">
        <f>'P9'!V7</f>
        <v>0</v>
      </c>
      <c r="T35" s="159">
        <f>'P9'!W7</f>
        <v>0</v>
      </c>
      <c r="U35" s="159">
        <f>'P9'!X7</f>
        <v>982697615.75</v>
      </c>
      <c r="V35" s="159">
        <f>'P9'!Y7</f>
        <v>11686193987.75</v>
      </c>
      <c r="W35" s="298">
        <f t="shared" si="1"/>
        <v>2.9018488239857154E-3</v>
      </c>
    </row>
    <row r="36" spans="1:23" s="194" customFormat="1" x14ac:dyDescent="0.2">
      <c r="A36" s="195" t="str">
        <f>Portafolio_Cadena_Maíz!D118</f>
        <v>9.1. Fortalecimiento del Sistema de Inspección, Vigilancia y Control para la cadena de maíz.</v>
      </c>
      <c r="B36" s="53">
        <f>'P9'!E8</f>
        <v>881873797.5</v>
      </c>
      <c r="C36" s="53">
        <f>'P9'!F8</f>
        <v>1175831730</v>
      </c>
      <c r="D36" s="53" t="str">
        <f>'P9'!G8</f>
        <v xml:space="preserve">Por definir </v>
      </c>
      <c r="E36" s="53" t="str">
        <f>'P9'!H8</f>
        <v xml:space="preserve">Por definir </v>
      </c>
      <c r="F36" s="53" t="str">
        <f>'P9'!I8</f>
        <v xml:space="preserve">Por definir </v>
      </c>
      <c r="G36" s="53" t="str">
        <f>'P9'!J8</f>
        <v xml:space="preserve">Por definir </v>
      </c>
      <c r="H36" s="53" t="str">
        <f>'P9'!K8</f>
        <v xml:space="preserve">Por definir </v>
      </c>
      <c r="I36" s="53" t="str">
        <f>'P9'!L8</f>
        <v xml:space="preserve">Por definir </v>
      </c>
      <c r="J36" s="53" t="str">
        <f>'P9'!M8</f>
        <v xml:space="preserve">Por definir </v>
      </c>
      <c r="K36" s="53" t="str">
        <f>'P9'!N8</f>
        <v xml:space="preserve">Por definir </v>
      </c>
      <c r="L36" s="53" t="str">
        <f>'P9'!O8</f>
        <v xml:space="preserve">Por definir </v>
      </c>
      <c r="M36" s="53" t="str">
        <f>'P9'!P8</f>
        <v xml:space="preserve">Por definir </v>
      </c>
      <c r="N36" s="53" t="str">
        <f>'P9'!Q8</f>
        <v xml:space="preserve">Por definir </v>
      </c>
      <c r="O36" s="53" t="str">
        <f>'P9'!R8</f>
        <v xml:space="preserve">Por definir </v>
      </c>
      <c r="P36" s="53" t="str">
        <f>'P9'!S8</f>
        <v xml:space="preserve">Por definir </v>
      </c>
      <c r="Q36" s="53" t="str">
        <f>'P9'!T8</f>
        <v xml:space="preserve">Por definir </v>
      </c>
      <c r="R36" s="53" t="str">
        <f>'P9'!U8</f>
        <v xml:space="preserve">Por definir </v>
      </c>
      <c r="S36" s="53" t="str">
        <f>'P9'!V8</f>
        <v xml:space="preserve">Por definir </v>
      </c>
      <c r="T36" s="53" t="str">
        <f>'P9'!W8</f>
        <v xml:space="preserve">Por definir </v>
      </c>
      <c r="U36" s="53" t="str">
        <f>'P9'!X8</f>
        <v xml:space="preserve">Por definir </v>
      </c>
      <c r="V36" s="53">
        <f>'P9'!Y8</f>
        <v>2057705527.5</v>
      </c>
      <c r="W36" s="205">
        <f>V36/V42</f>
        <v>5.1095766263541511E-4</v>
      </c>
    </row>
    <row r="37" spans="1:23" s="194" customFormat="1" ht="28.5" x14ac:dyDescent="0.2">
      <c r="A37" s="195" t="str">
        <f>Portafolio_Cadena_Maíz!D126</f>
        <v>9.2. Diseño y mejora de los instrumentos de financiamiento, comercialización, gestión de riesgos y empresarización para la cadena de maíz.</v>
      </c>
      <c r="B37" s="53">
        <f>'P9'!E9</f>
        <v>247289190</v>
      </c>
      <c r="C37" s="53" t="str">
        <f>'P9'!F9</f>
        <v>Por definir</v>
      </c>
      <c r="D37" s="53" t="str">
        <f>'P9'!G9</f>
        <v xml:space="preserve">Por definir </v>
      </c>
      <c r="E37" s="53" t="str">
        <f>'P9'!H9</f>
        <v xml:space="preserve">Por definir </v>
      </c>
      <c r="F37" s="53" t="str">
        <f>'P9'!I9</f>
        <v xml:space="preserve">Por definir </v>
      </c>
      <c r="G37" s="53">
        <f>'P9'!J9</f>
        <v>329718920</v>
      </c>
      <c r="H37" s="53">
        <f>'P9'!K9</f>
        <v>0</v>
      </c>
      <c r="I37" s="53">
        <f>'P9'!L9</f>
        <v>0</v>
      </c>
      <c r="J37" s="53">
        <f>'P9'!M9</f>
        <v>0</v>
      </c>
      <c r="K37" s="53">
        <f>'P9'!N9</f>
        <v>0</v>
      </c>
      <c r="L37" s="53">
        <f>'P9'!O9</f>
        <v>329718920</v>
      </c>
      <c r="M37" s="53">
        <f>'P9'!P9</f>
        <v>0</v>
      </c>
      <c r="N37" s="53">
        <f>'P9'!Q9</f>
        <v>0</v>
      </c>
      <c r="O37" s="53">
        <f>'P9'!R9</f>
        <v>0</v>
      </c>
      <c r="P37" s="53">
        <f>'P9'!S9</f>
        <v>0</v>
      </c>
      <c r="Q37" s="53">
        <f>'P9'!T9</f>
        <v>329718920</v>
      </c>
      <c r="R37" s="53">
        <f>'P9'!U9</f>
        <v>0</v>
      </c>
      <c r="S37" s="53">
        <f>'P9'!V9</f>
        <v>0</v>
      </c>
      <c r="T37" s="53">
        <f>'P9'!W9</f>
        <v>0</v>
      </c>
      <c r="U37" s="53">
        <f>'P9'!X9</f>
        <v>329718920</v>
      </c>
      <c r="V37" s="53">
        <f>'P9'!Y9</f>
        <v>1566164870</v>
      </c>
      <c r="W37" s="205">
        <f>V37/V42</f>
        <v>3.8890109910388957E-4</v>
      </c>
    </row>
    <row r="38" spans="1:23" s="194" customFormat="1" ht="28.5" x14ac:dyDescent="0.2">
      <c r="A38" s="195" t="str">
        <f>Portafolio_Cadena_Maíz!D134</f>
        <v>9.3. Fortalecimiento de mecanismos institucionales para el impulso a las inversiones en producción de maíz a mediana y gran escala.</v>
      </c>
      <c r="B38" s="53">
        <f>'P9'!E10</f>
        <v>652978695.75</v>
      </c>
      <c r="C38" s="53">
        <f>'P9'!F10</f>
        <v>652978695.75</v>
      </c>
      <c r="D38" s="53" t="str">
        <f>'P9'!G10</f>
        <v xml:space="preserve">Por definir </v>
      </c>
      <c r="E38" s="53" t="str">
        <f>'P9'!H10</f>
        <v xml:space="preserve">Por definir </v>
      </c>
      <c r="F38" s="53" t="str">
        <f>'P9'!I10</f>
        <v>Por definir</v>
      </c>
      <c r="G38" s="53">
        <f>'P9'!J10</f>
        <v>652978695.75</v>
      </c>
      <c r="H38" s="53" t="str">
        <f>'P9'!K10</f>
        <v xml:space="preserve">Por definir </v>
      </c>
      <c r="I38" s="53" t="str">
        <f>'P9'!L10</f>
        <v>Por definir</v>
      </c>
      <c r="J38" s="53" t="str">
        <f>'P9'!M10</f>
        <v xml:space="preserve">Por definir </v>
      </c>
      <c r="K38" s="53">
        <f>'P9'!N10</f>
        <v>652978695.75</v>
      </c>
      <c r="L38" s="53" t="str">
        <f>'P9'!O10</f>
        <v xml:space="preserve">Por definir </v>
      </c>
      <c r="M38" s="53" t="str">
        <f>'P9'!P10</f>
        <v xml:space="preserve">Por definir </v>
      </c>
      <c r="N38" s="53" t="str">
        <f>'P9'!Q10</f>
        <v xml:space="preserve">Por definir </v>
      </c>
      <c r="O38" s="53" t="str">
        <f>'P9'!R10</f>
        <v>Por definir</v>
      </c>
      <c r="P38" s="53">
        <f>'P9'!S10</f>
        <v>652978695.75</v>
      </c>
      <c r="Q38" s="53" t="str">
        <f>'P9'!T10</f>
        <v xml:space="preserve">Por definir </v>
      </c>
      <c r="R38" s="53" t="str">
        <f>'P9'!U10</f>
        <v>Por definir</v>
      </c>
      <c r="S38" s="53" t="str">
        <f>'P9'!V10</f>
        <v xml:space="preserve">Por definir </v>
      </c>
      <c r="T38" s="53" t="str">
        <f>'P9'!W10</f>
        <v xml:space="preserve">Por definir </v>
      </c>
      <c r="U38" s="53">
        <f>'P9'!X10</f>
        <v>652978695.75</v>
      </c>
      <c r="V38" s="53">
        <f>'P9'!Y10</f>
        <v>3917872174.5</v>
      </c>
      <c r="W38" s="205"/>
    </row>
    <row r="39" spans="1:23" s="194" customFormat="1" x14ac:dyDescent="0.2">
      <c r="A39" s="195" t="str">
        <f>Portafolio_Cadena_Maíz!D141</f>
        <v>9.4. Diseño y operación del Sistema nacional de Información para la cadena de maíz.</v>
      </c>
      <c r="B39" s="53">
        <f>'P9'!E11</f>
        <v>423478962.75</v>
      </c>
      <c r="C39" s="53" t="str">
        <f>'P9'!F11</f>
        <v>Por definir</v>
      </c>
      <c r="D39" s="53" t="str">
        <f>'P9'!G11</f>
        <v xml:space="preserve">Por definir </v>
      </c>
      <c r="E39" s="53" t="str">
        <f>'P9'!H11</f>
        <v xml:space="preserve">Por definir </v>
      </c>
      <c r="F39" s="53" t="str">
        <f>'P9'!I11</f>
        <v>Por definir</v>
      </c>
      <c r="G39" s="53">
        <f>'P9'!J11</f>
        <v>564638617</v>
      </c>
      <c r="H39" s="53" t="str">
        <f>'P9'!K11</f>
        <v xml:space="preserve">Por definir </v>
      </c>
      <c r="I39" s="53" t="str">
        <f>'P9'!L11</f>
        <v>Por definir</v>
      </c>
      <c r="J39" s="53" t="str">
        <f>'P9'!M11</f>
        <v xml:space="preserve">Por definir </v>
      </c>
      <c r="K39" s="53" t="str">
        <f>'P9'!N11</f>
        <v xml:space="preserve">Por definir </v>
      </c>
      <c r="L39" s="53">
        <f>'P9'!O11</f>
        <v>564638617</v>
      </c>
      <c r="M39" s="53" t="str">
        <f>'P9'!P11</f>
        <v xml:space="preserve">Por definir </v>
      </c>
      <c r="N39" s="53" t="str">
        <f>'P9'!Q11</f>
        <v xml:space="preserve">Por definir </v>
      </c>
      <c r="O39" s="53" t="str">
        <f>'P9'!R11</f>
        <v>Por definir</v>
      </c>
      <c r="P39" s="53" t="str">
        <f>'P9'!S11</f>
        <v xml:space="preserve">Por definir </v>
      </c>
      <c r="Q39" s="53">
        <f>'P9'!T11</f>
        <v>564638617</v>
      </c>
      <c r="R39" s="53" t="str">
        <f>'P9'!U11</f>
        <v>Por definir</v>
      </c>
      <c r="S39" s="53" t="str">
        <f>'P9'!V11</f>
        <v xml:space="preserve">Por definir </v>
      </c>
      <c r="T39" s="53" t="str">
        <f>'P9'!W11</f>
        <v xml:space="preserve">Por definir </v>
      </c>
      <c r="U39" s="53" t="str">
        <f>'P9'!X11</f>
        <v xml:space="preserve">Por definir </v>
      </c>
      <c r="V39" s="53">
        <f>'P9'!Y11</f>
        <v>2117394813.75</v>
      </c>
      <c r="W39" s="205">
        <f>V39/V42</f>
        <v>5.2577936466181277E-4</v>
      </c>
    </row>
    <row r="40" spans="1:23" s="194" customFormat="1" x14ac:dyDescent="0.2">
      <c r="A40" s="197" t="str">
        <f>Portafolio_Cadena_Maíz!D145</f>
        <v>9.5. Constitución y fortalecimiento de la Organización de Cadena de maíz.</v>
      </c>
      <c r="B40" s="53">
        <f>'P9'!E12</f>
        <v>320314491</v>
      </c>
      <c r="C40" s="53">
        <f>'P9'!F12</f>
        <v>320314491</v>
      </c>
      <c r="D40" s="53">
        <f>'P9'!G12</f>
        <v>320314491</v>
      </c>
      <c r="E40" s="53" t="str">
        <f>'P9'!H12</f>
        <v xml:space="preserve">Por definir </v>
      </c>
      <c r="F40" s="53" t="str">
        <f>'P9'!I12</f>
        <v xml:space="preserve">Por definir </v>
      </c>
      <c r="G40" s="53" t="str">
        <f>'P9'!J12</f>
        <v xml:space="preserve">Por definir </v>
      </c>
      <c r="H40" s="53" t="str">
        <f>'P9'!K12</f>
        <v xml:space="preserve">Por definir </v>
      </c>
      <c r="I40" s="53" t="str">
        <f>'P9'!L12</f>
        <v xml:space="preserve">Por definir </v>
      </c>
      <c r="J40" s="53" t="str">
        <f>'P9'!M12</f>
        <v xml:space="preserve">Por definir </v>
      </c>
      <c r="K40" s="53" t="str">
        <f>'P9'!N12</f>
        <v xml:space="preserve">Por definir </v>
      </c>
      <c r="L40" s="53" t="str">
        <f>'P9'!O12</f>
        <v xml:space="preserve">Por definir </v>
      </c>
      <c r="M40" s="53" t="str">
        <f>'P9'!P12</f>
        <v xml:space="preserve">Por definir </v>
      </c>
      <c r="N40" s="53" t="str">
        <f>'P9'!Q12</f>
        <v xml:space="preserve">Por definir </v>
      </c>
      <c r="O40" s="53" t="str">
        <f>'P9'!R12</f>
        <v xml:space="preserve">Por definir </v>
      </c>
      <c r="P40" s="53" t="str">
        <f>'P9'!S12</f>
        <v xml:space="preserve">Por definir </v>
      </c>
      <c r="Q40" s="53" t="str">
        <f>'P9'!T12</f>
        <v xml:space="preserve">Por definir </v>
      </c>
      <c r="R40" s="53" t="str">
        <f>'P9'!U12</f>
        <v xml:space="preserve">Por definir </v>
      </c>
      <c r="S40" s="53" t="str">
        <f>'P9'!V12</f>
        <v xml:space="preserve">Por definir </v>
      </c>
      <c r="T40" s="53" t="str">
        <f>'P9'!W12</f>
        <v xml:space="preserve">Por definir </v>
      </c>
      <c r="U40" s="53" t="str">
        <f>'P9'!X12</f>
        <v xml:space="preserve">Por definir </v>
      </c>
      <c r="V40" s="53">
        <f>'P9'!Y12</f>
        <v>960943473</v>
      </c>
      <c r="W40" s="205">
        <f>V40/V42</f>
        <v>2.3861598480778644E-4</v>
      </c>
    </row>
    <row r="41" spans="1:23" s="194" customFormat="1" x14ac:dyDescent="0.2">
      <c r="A41" s="197" t="str">
        <f>Portafolio_Cadena_Maíz!D150</f>
        <v>9.6. Adopción, promoción y monitoreo de la política pública para la cadena de maíz.</v>
      </c>
      <c r="B41" s="53">
        <f>'P9'!E13</f>
        <v>355371043</v>
      </c>
      <c r="C41" s="53">
        <f>'P9'!F13</f>
        <v>355371043</v>
      </c>
      <c r="D41" s="53">
        <f>'P9'!G13</f>
        <v>355371043</v>
      </c>
      <c r="E41" s="53" t="str">
        <f>'P9'!H13</f>
        <v xml:space="preserve">Por definir </v>
      </c>
      <c r="F41" s="53" t="str">
        <f>'P9'!I13</f>
        <v xml:space="preserve">Por definir </v>
      </c>
      <c r="G41" s="53" t="str">
        <f>'P9'!J13</f>
        <v xml:space="preserve">Por definir </v>
      </c>
      <c r="H41" s="53" t="str">
        <f>'P9'!K13</f>
        <v xml:space="preserve">Por definir </v>
      </c>
      <c r="I41" s="53" t="str">
        <f>'P9'!L13</f>
        <v xml:space="preserve">Por definir </v>
      </c>
      <c r="J41" s="53" t="str">
        <f>'P9'!M13</f>
        <v xml:space="preserve">Por definir </v>
      </c>
      <c r="K41" s="53" t="str">
        <f>'P9'!N13</f>
        <v xml:space="preserve">Por definir </v>
      </c>
      <c r="L41" s="53" t="str">
        <f>'P9'!O13</f>
        <v xml:space="preserve">Por definir </v>
      </c>
      <c r="M41" s="53" t="str">
        <f>'P9'!P13</f>
        <v xml:space="preserve">Por definir </v>
      </c>
      <c r="N41" s="53" t="str">
        <f>'P9'!Q13</f>
        <v xml:space="preserve">Por definir </v>
      </c>
      <c r="O41" s="53" t="str">
        <f>'P9'!R13</f>
        <v xml:space="preserve">Por definir </v>
      </c>
      <c r="P41" s="53" t="str">
        <f>'P9'!S13</f>
        <v xml:space="preserve">Por definir </v>
      </c>
      <c r="Q41" s="53" t="str">
        <f>'P9'!T13</f>
        <v xml:space="preserve">Por definir </v>
      </c>
      <c r="R41" s="53" t="str">
        <f>'P9'!U13</f>
        <v xml:space="preserve">Por definir </v>
      </c>
      <c r="S41" s="53" t="str">
        <f>'P9'!V13</f>
        <v xml:space="preserve">Por definir </v>
      </c>
      <c r="T41" s="53" t="str">
        <f>'P9'!W13</f>
        <v xml:space="preserve">Por definir </v>
      </c>
      <c r="U41" s="53" t="str">
        <f>'P9'!X13</f>
        <v xml:space="preserve">Por definir </v>
      </c>
      <c r="V41" s="53">
        <f>'P9'!Y13</f>
        <v>1066113129</v>
      </c>
      <c r="W41" s="205">
        <f>V41/V42</f>
        <v>2.6473111201708082E-4</v>
      </c>
    </row>
    <row r="42" spans="1:23" s="199" customFormat="1" ht="15.75" x14ac:dyDescent="0.2">
      <c r="A42" s="198" t="s">
        <v>263</v>
      </c>
      <c r="B42" s="161">
        <f t="shared" ref="B42:W42" si="2">B6+B9+B13+B19+B22+B24+B29+B32+B35</f>
        <v>13307810191.508999</v>
      </c>
      <c r="C42" s="161">
        <f t="shared" si="2"/>
        <v>157754973417.79254</v>
      </c>
      <c r="D42" s="161">
        <f t="shared" si="2"/>
        <v>174377239671.95856</v>
      </c>
      <c r="E42" s="161">
        <f t="shared" si="2"/>
        <v>191705670454.97589</v>
      </c>
      <c r="F42" s="161">
        <f t="shared" si="2"/>
        <v>213529779279.4216</v>
      </c>
      <c r="G42" s="161">
        <f t="shared" si="2"/>
        <v>241050660429.13171</v>
      </c>
      <c r="H42" s="161">
        <f t="shared" si="2"/>
        <v>289317330650.94147</v>
      </c>
      <c r="I42" s="161">
        <f t="shared" si="2"/>
        <v>325619067285.35193</v>
      </c>
      <c r="J42" s="161">
        <f t="shared" si="2"/>
        <v>384324641115.51709</v>
      </c>
      <c r="K42" s="161">
        <f t="shared" si="2"/>
        <v>461135926641.57825</v>
      </c>
      <c r="L42" s="161">
        <f t="shared" si="2"/>
        <v>384322339045.93176</v>
      </c>
      <c r="M42" s="161">
        <f t="shared" si="2"/>
        <v>232503373153.28323</v>
      </c>
      <c r="N42" s="161">
        <f t="shared" si="2"/>
        <v>198468451466.80374</v>
      </c>
      <c r="O42" s="161">
        <f t="shared" si="2"/>
        <v>162027801921.07629</v>
      </c>
      <c r="P42" s="161">
        <f t="shared" si="2"/>
        <v>138173777995.78802</v>
      </c>
      <c r="Q42" s="161">
        <f t="shared" si="2"/>
        <v>122587815882.49734</v>
      </c>
      <c r="R42" s="161">
        <f t="shared" si="2"/>
        <v>99648003543.022568</v>
      </c>
      <c r="S42" s="161">
        <f t="shared" si="2"/>
        <v>87124376650.946915</v>
      </c>
      <c r="T42" s="161">
        <f t="shared" si="2"/>
        <v>82778625284.140274</v>
      </c>
      <c r="U42" s="161">
        <f t="shared" si="2"/>
        <v>67396986827.715744</v>
      </c>
      <c r="V42" s="161">
        <f t="shared" si="2"/>
        <v>4027154650909.3838</v>
      </c>
      <c r="W42" s="299">
        <f t="shared" si="2"/>
        <v>0.99999999999999989</v>
      </c>
    </row>
    <row r="43" spans="1:23" s="160" customFormat="1" x14ac:dyDescent="0.2">
      <c r="W43" s="300"/>
    </row>
  </sheetData>
  <sheetProtection algorithmName="SHA-512" hashValue="t/WVklg2V4PJPYu5Z6SxJIzrz3kgzMsS5csOKn7uexZtwjQKZWfJH7BZT8HmUzke6BSmXdMjcothg5Q+wc4tkA==" saltValue="l1/V+BwaGHK2gP6XaqDFAw==" spinCount="100000" sheet="1" objects="1" scenarios="1"/>
  <mergeCells count="2">
    <mergeCell ref="A1:W1"/>
    <mergeCell ref="A2:W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80" zoomScaleNormal="80" workbookViewId="0">
      <selection sqref="A1:E1"/>
    </sheetView>
  </sheetViews>
  <sheetFormatPr baseColWidth="10" defaultColWidth="10.85546875" defaultRowHeight="14.25" x14ac:dyDescent="0.25"/>
  <cols>
    <col min="1" max="1" width="100.42578125" style="185" customWidth="1"/>
    <col min="2" max="2" width="23.85546875" style="185" customWidth="1"/>
    <col min="3" max="5" width="21.5703125" style="185" customWidth="1"/>
    <col min="6" max="16384" width="10.85546875" style="185"/>
  </cols>
  <sheetData>
    <row r="1" spans="1:7" ht="18.600000000000001" customHeight="1" x14ac:dyDescent="0.25">
      <c r="A1" s="849" t="s">
        <v>264</v>
      </c>
      <c r="B1" s="849"/>
      <c r="C1" s="849"/>
      <c r="D1" s="849"/>
      <c r="E1" s="849"/>
    </row>
    <row r="2" spans="1:7" ht="18" x14ac:dyDescent="0.25">
      <c r="A2" s="849" t="s">
        <v>332</v>
      </c>
      <c r="B2" s="849"/>
      <c r="C2" s="849"/>
      <c r="D2" s="849"/>
      <c r="E2" s="849"/>
    </row>
    <row r="3" spans="1:7" ht="18.75" x14ac:dyDescent="0.25">
      <c r="A3" s="736"/>
      <c r="B3" s="737"/>
      <c r="C3" s="737"/>
      <c r="D3" s="737"/>
      <c r="E3" s="737"/>
    </row>
    <row r="4" spans="1:7" ht="18.75" x14ac:dyDescent="0.25">
      <c r="A4" s="736"/>
      <c r="B4" s="737"/>
      <c r="C4" s="737"/>
      <c r="D4" s="737"/>
      <c r="E4" s="737"/>
    </row>
    <row r="5" spans="1:7" hidden="1" x14ac:dyDescent="0.25">
      <c r="B5" s="185">
        <v>1000000</v>
      </c>
    </row>
    <row r="6" spans="1:7" ht="36.75" customHeight="1" x14ac:dyDescent="0.25">
      <c r="A6" s="727" t="s">
        <v>262</v>
      </c>
      <c r="B6" s="727" t="s">
        <v>304</v>
      </c>
      <c r="C6" s="727" t="s">
        <v>306</v>
      </c>
      <c r="D6" s="727" t="s">
        <v>305</v>
      </c>
      <c r="E6" s="727" t="s">
        <v>24</v>
      </c>
    </row>
    <row r="7" spans="1:7" s="738" customFormat="1" ht="15" x14ac:dyDescent="0.25">
      <c r="A7" s="730" t="str">
        <f>'Estimación anualizada '!A6</f>
        <v>1. Incremento del consumo de maíz nacional.</v>
      </c>
      <c r="B7" s="731">
        <f>'Estimación anualizada '!V6/$B$5</f>
        <v>121882.81065498418</v>
      </c>
      <c r="C7" s="731">
        <f>SUM('Estimación anualizada '!B6:E6)/$B$5</f>
        <v>25381.331001357499</v>
      </c>
      <c r="D7" s="731">
        <f>SUM('Estimación anualizada '!F6:M6)/$B$5</f>
        <v>58721.376870026703</v>
      </c>
      <c r="E7" s="731">
        <f>SUM('Estimación anualizada '!N6:U6)/$B$5</f>
        <v>37780.102783599999</v>
      </c>
      <c r="F7" s="185"/>
      <c r="G7" s="185"/>
    </row>
    <row r="8" spans="1:7" s="738" customFormat="1" ht="27.75" customHeight="1" x14ac:dyDescent="0.25">
      <c r="A8" s="732" t="str">
        <f>'Estimación anualizada '!A7</f>
        <v>1.1. Aumento de la participación del maíz nacional en el mercado de consumo animal.</v>
      </c>
      <c r="B8" s="733">
        <f>'Estimación anualizada '!V7/$B$5</f>
        <v>70744.26371569671</v>
      </c>
      <c r="C8" s="733">
        <f>SUM('Estimación anualizada '!B7:E7)/$B$5</f>
        <v>16747.550349269997</v>
      </c>
      <c r="D8" s="733">
        <f>SUM('Estimación anualizada '!F7:M7)/$B$5</f>
        <v>37468.993726426714</v>
      </c>
      <c r="E8" s="733">
        <f>SUM('Estimación anualizada '!N7:U7)/$B$5</f>
        <v>16527.719639999999</v>
      </c>
      <c r="F8" s="185"/>
      <c r="G8" s="185"/>
    </row>
    <row r="9" spans="1:7" s="738" customFormat="1" ht="33.75" customHeight="1" x14ac:dyDescent="0.25">
      <c r="A9" s="732" t="str">
        <f>'Estimación anualizada '!A8</f>
        <v>1.2. Posicionamiento de la oferta del maíz nacional y sus derivados, para alimentación humana y otros usos.</v>
      </c>
      <c r="B9" s="733">
        <f>'Estimación anualizada '!V8/$B$5</f>
        <v>51138.54693928748</v>
      </c>
      <c r="C9" s="733">
        <f>SUM('Estimación anualizada '!B8:E8)/$B$5</f>
        <v>8633.7806520875001</v>
      </c>
      <c r="D9" s="733">
        <f>SUM('Estimación anualizada '!F8:M8)/$B$5</f>
        <v>21252.383143600004</v>
      </c>
      <c r="E9" s="733">
        <f>SUM('Estimación anualizada '!N8:U8)/$B$5</f>
        <v>21252.383143600004</v>
      </c>
      <c r="F9" s="185"/>
      <c r="G9" s="185"/>
    </row>
    <row r="10" spans="1:7" s="738" customFormat="1" ht="15" x14ac:dyDescent="0.25">
      <c r="A10" s="730" t="str">
        <f>'Estimación anualizada '!A9</f>
        <v>2. Mejoramiento productivo del cultivo de maíz.</v>
      </c>
      <c r="B10" s="731">
        <f>'Estimación anualizada '!V9/$B$5</f>
        <v>1389747.2401470947</v>
      </c>
      <c r="C10" s="731">
        <f>SUM('Estimación anualizada '!B9:E9)/$B$5</f>
        <v>187074.81527731335</v>
      </c>
      <c r="D10" s="731">
        <f>SUM('Estimación anualizada '!F9:M9)/$B$5</f>
        <v>963466.90650512325</v>
      </c>
      <c r="E10" s="731">
        <f>SUM('Estimación anualizada '!N9:U9)/$B$5</f>
        <v>239205.51836465823</v>
      </c>
      <c r="F10" s="185"/>
      <c r="G10" s="185"/>
    </row>
    <row r="11" spans="1:7" s="738" customFormat="1" ht="40.5" customHeight="1" x14ac:dyDescent="0.25">
      <c r="A11" s="732" t="str">
        <f>'Estimación anualizada '!A10</f>
        <v>2.1. Fortalecimiento de la extensión agrícola y asistencia técnica a los productores del sistema tradicional.</v>
      </c>
      <c r="B11" s="733">
        <f>'Estimación anualizada '!V10/$B$5</f>
        <v>82225.694130594784</v>
      </c>
      <c r="C11" s="733">
        <f>SUM('Estimación anualizada '!B10:E10)/$B$5</f>
        <v>16746.203588313332</v>
      </c>
      <c r="D11" s="733">
        <f>SUM('Estimación anualizada '!F10:M10)/$B$5</f>
        <v>36180.688560123228</v>
      </c>
      <c r="E11" s="733">
        <f>SUM('Estimación anualizada '!N10:U10)/$B$5</f>
        <v>29298.801982158227</v>
      </c>
      <c r="F11" s="185"/>
      <c r="G11" s="185"/>
    </row>
    <row r="12" spans="1:7" s="738" customFormat="1" ht="20.25" customHeight="1" x14ac:dyDescent="0.25">
      <c r="A12" s="732" t="str">
        <f>'Estimación anualizada '!A11</f>
        <v>2.2. Implementación efectiva de asistencia técnica profesional, en sistemas tecnificados de maíz.</v>
      </c>
      <c r="B12" s="733">
        <f>'Estimación anualizada '!V11/$B$5</f>
        <v>1300005.8144985</v>
      </c>
      <c r="C12" s="733">
        <f>SUM('Estimación anualizada '!B11:E11)/$B$5</f>
        <v>168901.57405900001</v>
      </c>
      <c r="D12" s="733">
        <f>SUM('Estimación anualizada '!F11:M11)/$B$5</f>
        <v>924241.87100100005</v>
      </c>
      <c r="E12" s="733">
        <f>SUM('Estimación anualizada '!N11:U11)/$B$5</f>
        <v>206862.3694385</v>
      </c>
      <c r="F12" s="185"/>
      <c r="G12" s="185"/>
    </row>
    <row r="13" spans="1:7" s="738" customFormat="1" ht="18" customHeight="1" x14ac:dyDescent="0.25">
      <c r="A13" s="732" t="str">
        <f>'Estimación anualizada '!A12</f>
        <v xml:space="preserve">2.3. Impulso a la producción de maíz a mediana y gran escala.  </v>
      </c>
      <c r="B13" s="733">
        <f>'Estimación anualizada '!V12/$B$5</f>
        <v>7515.7315179999996</v>
      </c>
      <c r="C13" s="733">
        <f>SUM('Estimación anualizada '!B12:E12)/$B$5</f>
        <v>1427.03763</v>
      </c>
      <c r="D13" s="733">
        <f>SUM('Estimación anualizada '!F12:M12)/$B$5</f>
        <v>3044.3469439999999</v>
      </c>
      <c r="E13" s="733">
        <f>SUM('Estimación anualizada '!N12:U12)/$B$5</f>
        <v>3044.3469439999999</v>
      </c>
      <c r="F13" s="185"/>
      <c r="G13" s="185"/>
    </row>
    <row r="14" spans="1:7" s="738" customFormat="1" ht="21" customHeight="1" x14ac:dyDescent="0.25">
      <c r="A14" s="730" t="str">
        <f>'Estimación anualizada '!A13</f>
        <v xml:space="preserve">3. Generación y consolidación de encadenamientos regionales para la cadena de maíz. </v>
      </c>
      <c r="B14" s="731">
        <f>'Estimación anualizada '!V13/$B$5</f>
        <v>2158210.4753019316</v>
      </c>
      <c r="C14" s="731">
        <f>SUM('Estimación anualizada '!B13:E13)/$B$5</f>
        <v>248651.00520812845</v>
      </c>
      <c r="D14" s="731">
        <f>SUM('Estimación anualizada '!F13:M13)/$B$5</f>
        <v>1347473.5863147532</v>
      </c>
      <c r="E14" s="731">
        <f>SUM('Estimación anualizada '!N13:U13)/$B$5</f>
        <v>562085.88377904985</v>
      </c>
      <c r="F14" s="185"/>
      <c r="G14" s="185"/>
    </row>
    <row r="15" spans="1:7" s="738" customFormat="1" ht="24" customHeight="1" x14ac:dyDescent="0.25">
      <c r="A15" s="732" t="str">
        <f>'Estimación anualizada '!A14</f>
        <v>3.1. Promoción y fortalecimiento de organizaciones de economía solidaria en la cadena de maíz.</v>
      </c>
      <c r="B15" s="733">
        <f>'Estimación anualizada '!V14/$B$5</f>
        <v>24061.173910000001</v>
      </c>
      <c r="C15" s="733">
        <f>SUM('Estimación anualizada '!B14:E14)/$B$5</f>
        <v>3112.60079</v>
      </c>
      <c r="D15" s="733">
        <f>SUM('Estimación anualizada '!F14:M14)/$B$5</f>
        <v>10286.78656</v>
      </c>
      <c r="E15" s="733">
        <f>SUM('Estimación anualizada '!N14:U14)/$B$5</f>
        <v>10661.78656</v>
      </c>
      <c r="F15" s="185"/>
      <c r="G15" s="185"/>
    </row>
    <row r="16" spans="1:7" s="738" customFormat="1" ht="18" customHeight="1" x14ac:dyDescent="0.25">
      <c r="A16" s="732" t="str">
        <f>'Estimación anualizada '!A15</f>
        <v>3.2. Promoción de la integración y las alianzas estratégicas regionales en la cadena de maíz.</v>
      </c>
      <c r="B16" s="733">
        <f>'Estimación anualizada '!V15/$B$5</f>
        <v>37997.628165499998</v>
      </c>
      <c r="C16" s="733">
        <f>SUM('Estimación anualizada '!B15:E15)/$B$5</f>
        <v>7870.9887294999999</v>
      </c>
      <c r="D16" s="733">
        <f>SUM('Estimación anualizada '!F15:M15)/$B$5</f>
        <v>15350.747836</v>
      </c>
      <c r="E16" s="733">
        <f>SUM('Estimación anualizada '!N15:U15)/$B$5</f>
        <v>14775.891600000001</v>
      </c>
      <c r="F16" s="185"/>
      <c r="G16" s="185"/>
    </row>
    <row r="17" spans="1:7" s="738" customFormat="1" ht="34.5" customHeight="1" x14ac:dyDescent="0.25">
      <c r="A17" s="732" t="str">
        <f>'Estimación anualizada '!A16</f>
        <v>3.3. Aumento de la capacidad instalada regional para el secamiento, almacenamiento, y procesamiento agroindustrial de maíz.</v>
      </c>
      <c r="B17" s="733">
        <f>'Estimación anualizada '!V16/$B$5</f>
        <v>2055072.6567460415</v>
      </c>
      <c r="C17" s="733">
        <f>SUM('Estimación anualizada '!B16:E16)/$B$5</f>
        <v>228186.32404905444</v>
      </c>
      <c r="D17" s="733">
        <f>SUM('Estimación anualizada '!F16:M16)/$B$5</f>
        <v>1302210.0997428971</v>
      </c>
      <c r="E17" s="733">
        <f>SUM('Estimación anualizada '!N16:U16)/$B$5</f>
        <v>524676.23295408976</v>
      </c>
      <c r="F17" s="185"/>
      <c r="G17" s="185"/>
    </row>
    <row r="18" spans="1:7" s="738" customFormat="1" ht="20.25" customHeight="1" x14ac:dyDescent="0.25">
      <c r="A18" s="732" t="str">
        <f>'Estimación anualizada '!A17</f>
        <v xml:space="preserve">3.4. Fortalecimiento de la oferta de insumos y servicios asociados a la cadena. </v>
      </c>
      <c r="B18" s="733">
        <f>'Estimación anualizada '!V17/$B$5</f>
        <v>30338.487270195987</v>
      </c>
      <c r="C18" s="733">
        <f>SUM('Estimación anualizada '!B17:E17)/$B$5</f>
        <v>7231.2304364040001</v>
      </c>
      <c r="D18" s="733">
        <f>SUM('Estimación anualizada '!F17:M17)/$B$5</f>
        <v>15301.422472832</v>
      </c>
      <c r="E18" s="733">
        <f>SUM('Estimación anualizada '!N17:U17)/$B$5</f>
        <v>7805.8343609599997</v>
      </c>
      <c r="F18" s="185"/>
      <c r="G18" s="185"/>
    </row>
    <row r="19" spans="1:7" s="738" customFormat="1" ht="20.25" customHeight="1" x14ac:dyDescent="0.25">
      <c r="A19" s="732" t="str">
        <f>'Estimación anualizada '!A18</f>
        <v>3.5. Mejora del entorno productivo para las grandes inversiones en las regiones maiceras.</v>
      </c>
      <c r="B19" s="733">
        <f>'Estimación anualizada '!V18/$B$5</f>
        <v>10740.529210193999</v>
      </c>
      <c r="C19" s="733">
        <f>SUM('Estimación anualizada '!B18:E18)/$B$5</f>
        <v>2249.86120317</v>
      </c>
      <c r="D19" s="733">
        <f>SUM('Estimación anualizada '!F18:M18)/$B$5</f>
        <v>4324.5297030239999</v>
      </c>
      <c r="E19" s="733">
        <f>SUM('Estimación anualizada '!N18:U18)/$B$5</f>
        <v>4166.1383040000001</v>
      </c>
      <c r="F19" s="185"/>
      <c r="G19" s="185"/>
    </row>
    <row r="20" spans="1:7" s="738" customFormat="1" ht="15" x14ac:dyDescent="0.25">
      <c r="A20" s="730" t="str">
        <f>'Estimación anualizada '!A19</f>
        <v xml:space="preserve">4. Mejora de la gestión del agua y del suelo en el cultivo de maíz. </v>
      </c>
      <c r="B20" s="731">
        <f>'Estimación anualizada '!V19/$B$5</f>
        <v>117563.78773325002</v>
      </c>
      <c r="C20" s="731">
        <f>SUM('Estimación anualizada '!B19:E19)/$B$5</f>
        <v>17261.472836355668</v>
      </c>
      <c r="D20" s="731">
        <f>SUM('Estimación anualizada '!F19:M19)/$B$5</f>
        <v>71732.408276035436</v>
      </c>
      <c r="E20" s="731">
        <f>SUM('Estimación anualizada '!N19:U19)/$B$5</f>
        <v>28569.90662085891</v>
      </c>
      <c r="F20" s="185"/>
      <c r="G20" s="185"/>
    </row>
    <row r="21" spans="1:7" s="738" customFormat="1" ht="21.75" customHeight="1" x14ac:dyDescent="0.25">
      <c r="A21" s="732" t="str">
        <f>'Estimación anualizada '!A20</f>
        <v>4.1. Contribución a la gestión del ordenamiento ambiental, fuera de la frontera agrícola.</v>
      </c>
      <c r="B21" s="733">
        <f>'Estimación anualizada '!V20/$B$5</f>
        <v>3089.5396350000001</v>
      </c>
      <c r="C21" s="733">
        <f>SUM('Estimación anualizada '!B20:E20)/$B$5</f>
        <v>2265.6623989999998</v>
      </c>
      <c r="D21" s="733">
        <f>SUM('Estimación anualizada '!F20:M20)/$B$5</f>
        <v>823.87723600000004</v>
      </c>
      <c r="E21" s="733">
        <f>SUM('Estimación anualizada '!N20:U20)/$B$5</f>
        <v>0</v>
      </c>
      <c r="F21" s="185"/>
      <c r="G21" s="185"/>
    </row>
    <row r="22" spans="1:7" s="738" customFormat="1" ht="22.5" customHeight="1" x14ac:dyDescent="0.25">
      <c r="A22" s="732" t="str">
        <f>'Estimación anualizada '!A21</f>
        <v>4.2. Promoción del manejo eficiente del suelo y del agua, en la producción de maíz.</v>
      </c>
      <c r="B22" s="733">
        <f>'Estimación anualizada '!V21/$B$5</f>
        <v>114474.24809825001</v>
      </c>
      <c r="C22" s="733">
        <f>SUM('Estimación anualizada '!B21:E21)/$B$5</f>
        <v>14995.810437355667</v>
      </c>
      <c r="D22" s="733">
        <f>SUM('Estimación anualizada '!F21:M21)/$B$5</f>
        <v>70908.531040035436</v>
      </c>
      <c r="E22" s="733">
        <f>SUM('Estimación anualizada '!N21:U21)/$B$5</f>
        <v>28569.90662085891</v>
      </c>
      <c r="F22" s="185"/>
      <c r="G22" s="185"/>
    </row>
    <row r="23" spans="1:7" s="738" customFormat="1" ht="22.5" customHeight="1" x14ac:dyDescent="0.25">
      <c r="A23" s="730" t="str">
        <f>'Estimación anualizada '!A22</f>
        <v>5. Fortalecimiento de la gestión ambiental en la cadena maicera.</v>
      </c>
      <c r="B23" s="731">
        <f>'Estimación anualizada '!V22/$B$5</f>
        <v>21593.230348064</v>
      </c>
      <c r="C23" s="731">
        <f>SUM('Estimación anualizada '!B22:E22)/$B$5</f>
        <v>8097.4613805240015</v>
      </c>
      <c r="D23" s="731">
        <f>SUM('Estimación anualizada '!F22:M22)/$B$5</f>
        <v>5398.307587016001</v>
      </c>
      <c r="E23" s="731">
        <f>SUM('Estimación anualizada '!N22:U22)/$B$5</f>
        <v>8097.4613805240015</v>
      </c>
      <c r="F23" s="185"/>
      <c r="G23" s="185"/>
    </row>
    <row r="24" spans="1:7" s="738" customFormat="1" ht="21" customHeight="1" x14ac:dyDescent="0.25">
      <c r="A24" s="732" t="str">
        <f>'Estimación anualizada '!A23</f>
        <v>5.1. Mejora del desempeño ambiental de la cadena de maíz.</v>
      </c>
      <c r="B24" s="733">
        <f>'Estimación anualizada '!V23/$B$5</f>
        <v>21593.230348064</v>
      </c>
      <c r="C24" s="733">
        <f>SUM('Estimación anualizada '!B23:E23)/$B$5</f>
        <v>8097.4613805240015</v>
      </c>
      <c r="D24" s="733">
        <f>SUM('Estimación anualizada '!F23:M23)/$B$5</f>
        <v>5398.307587016001</v>
      </c>
      <c r="E24" s="733">
        <f>SUM('Estimación anualizada '!N23:U23)/$B$5</f>
        <v>8097.4613805240015</v>
      </c>
      <c r="F24" s="185"/>
      <c r="G24" s="185"/>
    </row>
    <row r="25" spans="1:7" s="738" customFormat="1" ht="30" x14ac:dyDescent="0.25">
      <c r="A25" s="730" t="str">
        <f>'Estimación anualizada '!A24</f>
        <v xml:space="preserve">6. Contribución al mejoramiento en las condiciones de vida de la población vinculada a la cadena de maíz. </v>
      </c>
      <c r="B25" s="731">
        <f>'Estimación anualizada '!V24/$B$5</f>
        <v>126997.58260330002</v>
      </c>
      <c r="C25" s="731">
        <f>SUM('Estimación anualizada '!B24:E24)/$B$5</f>
        <v>22573.034495299999</v>
      </c>
      <c r="D25" s="731">
        <f>SUM('Estimación anualizada '!F24:M24)/$B$5</f>
        <v>53445.651407200006</v>
      </c>
      <c r="E25" s="731">
        <f>SUM('Estimación anualizada '!N24:U24)/$B$5</f>
        <v>50978.896700800004</v>
      </c>
      <c r="F25" s="185"/>
      <c r="G25" s="185"/>
    </row>
    <row r="26" spans="1:7" s="738" customFormat="1" ht="25.5" customHeight="1" x14ac:dyDescent="0.25">
      <c r="A26" s="732" t="str">
        <f>'Estimación anualizada '!A25</f>
        <v>6.1  Promoción de la atención de las necesidades básicas de los actores vinculados a la cadena.</v>
      </c>
      <c r="B26" s="733">
        <f>'Estimación anualizada '!V25/$B$5</f>
        <v>64607.271652000003</v>
      </c>
      <c r="C26" s="733">
        <f>SUM('Estimación anualizada '!B25:E25)/$B$5</f>
        <v>10907.721188</v>
      </c>
      <c r="D26" s="733">
        <f>SUM('Estimación anualizada '!F25:M25)/$B$5</f>
        <v>26849.775232</v>
      </c>
      <c r="E26" s="733">
        <f>SUM('Estimación anualizada '!N25:U25)/$B$5</f>
        <v>26849.775232</v>
      </c>
      <c r="F26" s="185"/>
      <c r="G26" s="185"/>
    </row>
    <row r="27" spans="1:7" s="738" customFormat="1" ht="25.5" customHeight="1" x14ac:dyDescent="0.25">
      <c r="A27" s="732" t="str">
        <f>'Estimación anualizada '!A26</f>
        <v>6.2. Contribución al incremento del nivel educativo de los actores vinculados a la cadena.</v>
      </c>
      <c r="B27" s="733">
        <f>'Estimación anualizada '!V26/$B$5</f>
        <v>13629.695771999999</v>
      </c>
      <c r="C27" s="733">
        <f>SUM('Estimación anualizada '!B26:E26)/$B$5</f>
        <v>2301.1174679999999</v>
      </c>
      <c r="D27" s="733">
        <f>SUM('Estimación anualizada '!F26:M26)/$B$5</f>
        <v>5664.2891520000003</v>
      </c>
      <c r="E27" s="733">
        <f>SUM('Estimación anualizada '!N26:U26)/$B$5</f>
        <v>5664.2891520000003</v>
      </c>
      <c r="F27" s="185"/>
      <c r="G27" s="185"/>
    </row>
    <row r="28" spans="1:7" s="738" customFormat="1" ht="39.75" customHeight="1" x14ac:dyDescent="0.25">
      <c r="A28" s="732" t="str">
        <f>'Estimación anualizada '!A27</f>
        <v>6.3. Promoción al  acceso en la seguridad social y mejora en las condiciones laborales a lo largo de la cadena</v>
      </c>
      <c r="B28" s="733">
        <f>'Estimación anualizada '!V27/$B$5</f>
        <v>45018.273391800009</v>
      </c>
      <c r="C28" s="733">
        <f>SUM('Estimación anualizada '!B27:E27)/$B$5</f>
        <v>8016.952795799999</v>
      </c>
      <c r="D28" s="733">
        <f>SUM('Estimación anualizada '!F27:M27)/$B$5</f>
        <v>19734.0376512</v>
      </c>
      <c r="E28" s="733">
        <f>SUM('Estimación anualizada '!N27:U27)/$B$5</f>
        <v>17267.282944799997</v>
      </c>
      <c r="F28" s="185"/>
      <c r="G28" s="185"/>
    </row>
    <row r="29" spans="1:7" s="738" customFormat="1" ht="34.5" customHeight="1" x14ac:dyDescent="0.25">
      <c r="A29" s="732" t="str">
        <f>'Estimación anualizada '!A28</f>
        <v>6.4. Contribución a la mejora de condiciones de conectividad vial y de servicios públicos, en las regiones maiceras.</v>
      </c>
      <c r="B29" s="733">
        <f>'Estimación anualizada '!V28/$B$5</f>
        <v>3742.3417875</v>
      </c>
      <c r="C29" s="733">
        <f>SUM('Estimación anualizada '!B28:E28)/$B$5</f>
        <v>1347.2430435000001</v>
      </c>
      <c r="D29" s="733">
        <f>SUM('Estimación anualizada '!F28:M28)/$B$5</f>
        <v>1197.5493719999999</v>
      </c>
      <c r="E29" s="733">
        <f>SUM('Estimación anualizada '!N28:U28)/$B$5</f>
        <v>1197.5493719999999</v>
      </c>
      <c r="F29" s="185"/>
      <c r="G29" s="185"/>
    </row>
    <row r="30" spans="1:7" s="738" customFormat="1" ht="15" x14ac:dyDescent="0.25">
      <c r="A30" s="730" t="str">
        <f>'Estimación anualizada '!A29</f>
        <v>7. Contribución al ordenamiento productivo y social de la propiedad.</v>
      </c>
      <c r="B30" s="731">
        <f>'Estimación anualizada '!V29/$B$5</f>
        <v>52239.074348499998</v>
      </c>
      <c r="C30" s="731">
        <f>SUM('Estimación anualizada '!B29:E29)/$B$5</f>
        <v>9284.7335165000004</v>
      </c>
      <c r="D30" s="731">
        <f>SUM('Estimación anualizada '!F29:M29)/$B$5</f>
        <v>21569.007632000001</v>
      </c>
      <c r="E30" s="731">
        <f>SUM('Estimación anualizada '!N29:U29)/$B$5</f>
        <v>21385.333200000001</v>
      </c>
      <c r="F30" s="185"/>
      <c r="G30" s="185"/>
    </row>
    <row r="31" spans="1:7" s="738" customFormat="1" ht="42" customHeight="1" x14ac:dyDescent="0.25">
      <c r="A31" s="732" t="str">
        <f>'Estimación anualizada '!A30</f>
        <v>7.1. Articulación con las políticas de ordenamiento productivo y social de la propiedad rural para el cultivo de maíz.</v>
      </c>
      <c r="B31" s="733">
        <f>'Estimación anualizada '!V30/$B$5</f>
        <v>14243.132557499999</v>
      </c>
      <c r="C31" s="733">
        <f>SUM('Estimación anualizada '!B30:E30)/$B$5</f>
        <v>2404.6847174999998</v>
      </c>
      <c r="D31" s="733">
        <f>SUM('Estimación anualizada '!F30:M30)/$B$5</f>
        <v>5919.2239200000004</v>
      </c>
      <c r="E31" s="733">
        <f>SUM('Estimación anualizada '!N30:U30)/$B$5</f>
        <v>5919.2239200000004</v>
      </c>
      <c r="F31" s="185"/>
      <c r="G31" s="185"/>
    </row>
    <row r="32" spans="1:7" s="738" customFormat="1" ht="32.25" customHeight="1" x14ac:dyDescent="0.25">
      <c r="A32" s="732" t="str">
        <f>'Estimación anualizada '!A31</f>
        <v xml:space="preserve">7.2  Fortalecimiento en el acceso y la seguridad jurídica de los predios e inversiones para el cultivo de maíz. </v>
      </c>
      <c r="B32" s="733">
        <f>'Estimación anualizada '!V31/$B$5</f>
        <v>37995.941790999997</v>
      </c>
      <c r="C32" s="733">
        <f>SUM('Estimación anualizada '!B31:E31)/$B$5</f>
        <v>6880.0487990000001</v>
      </c>
      <c r="D32" s="733">
        <f>SUM('Estimación anualizada '!F31:M31)/$B$5</f>
        <v>15649.783712</v>
      </c>
      <c r="E32" s="733">
        <f>SUM('Estimación anualizada '!N31:U31)/$B$5</f>
        <v>15466.109280000001</v>
      </c>
      <c r="F32" s="185"/>
      <c r="G32" s="185"/>
    </row>
    <row r="33" spans="1:7" s="738" customFormat="1" ht="15" x14ac:dyDescent="0.25">
      <c r="A33" s="730" t="str">
        <f>'Estimación anualizada '!A32</f>
        <v>8. Fortalecimiento del desarrollo tecnológico y la innovación en la cadena de maíz.</v>
      </c>
      <c r="B33" s="731">
        <f>'Estimación anualizada '!V32/$B$5</f>
        <v>27234.2557845095</v>
      </c>
      <c r="C33" s="731">
        <f>SUM('Estimación anualizada '!B32:E32)/$B$5</f>
        <v>12760.352347006999</v>
      </c>
      <c r="D33" s="731">
        <f>SUM('Estimación anualizada '!F32:M32)/$B$5</f>
        <v>6901.2005435025003</v>
      </c>
      <c r="E33" s="731">
        <f>SUM('Estimación anualizada '!N32:U32)/$B$5</f>
        <v>7572.702894</v>
      </c>
      <c r="F33" s="185"/>
      <c r="G33" s="185"/>
    </row>
    <row r="34" spans="1:7" s="738" customFormat="1" ht="24.75" customHeight="1" x14ac:dyDescent="0.25">
      <c r="A34" s="732" t="str">
        <f>'Estimación anualizada '!A33</f>
        <v>8.1. Fortalecimiento de los procesos I+D+i para la cadena de maíz y sus derivados.</v>
      </c>
      <c r="B34" s="733">
        <f>'Estimación anualizada '!V33/$B$5</f>
        <v>7040.3814005094991</v>
      </c>
      <c r="C34" s="733">
        <f>SUM('Estimación anualizada '!B33:E33)/$B$5</f>
        <v>5187.6494530070004</v>
      </c>
      <c r="D34" s="733">
        <f>SUM('Estimación anualizada '!F33:M33)/$B$5</f>
        <v>1852.7319475025001</v>
      </c>
      <c r="E34" s="733">
        <f>SUM('Estimación anualizada '!N33:U33)/$B$5</f>
        <v>0</v>
      </c>
      <c r="F34" s="185"/>
      <c r="G34" s="185"/>
    </row>
    <row r="35" spans="1:7" s="738" customFormat="1" ht="18.75" customHeight="1" x14ac:dyDescent="0.25">
      <c r="A35" s="732" t="str">
        <f>'Estimación anualizada '!A34</f>
        <v>8.2. Fortalecimiento del talento humano en I+D+i, y en extensionismo agrícola e industrial.</v>
      </c>
      <c r="B35" s="733">
        <f>'Estimación anualizada '!V34/$B$5</f>
        <v>20193.874383999999</v>
      </c>
      <c r="C35" s="733">
        <f>SUM('Estimación anualizada '!B34:E34)/$B$5</f>
        <v>7572.702894</v>
      </c>
      <c r="D35" s="733">
        <f>SUM('Estimación anualizada '!F34:M34)/$B$5</f>
        <v>5048.4685959999997</v>
      </c>
      <c r="E35" s="733">
        <f>SUM('Estimación anualizada '!N34:U34)/$B$5</f>
        <v>7572.702894</v>
      </c>
      <c r="F35" s="185"/>
      <c r="G35" s="185"/>
    </row>
    <row r="36" spans="1:7" s="738" customFormat="1" ht="15" x14ac:dyDescent="0.25">
      <c r="A36" s="730" t="str">
        <f>'Estimación anualizada '!A35</f>
        <v>9. Fortalecimiento de la gestión institucional de la cadena de maíz</v>
      </c>
      <c r="B36" s="731">
        <f>'Estimación anualizada '!V35/$B$5</f>
        <v>11686.193987750001</v>
      </c>
      <c r="C36" s="731">
        <f>SUM('Estimación anualizada '!B35:E35)/$B$5</f>
        <v>6061.4876737499999</v>
      </c>
      <c r="D36" s="731">
        <f>SUM('Estimación anualizada '!F35:M35)/$B$5</f>
        <v>3094.6724654999998</v>
      </c>
      <c r="E36" s="731">
        <f>SUM('Estimación anualizada '!N35:U35)/$B$5</f>
        <v>2530.0338485000002</v>
      </c>
      <c r="F36" s="185"/>
      <c r="G36" s="185"/>
    </row>
    <row r="37" spans="1:7" s="738" customFormat="1" ht="18.75" customHeight="1" x14ac:dyDescent="0.25">
      <c r="A37" s="732" t="str">
        <f>'Estimación anualizada '!A36</f>
        <v>9.1. Fortalecimiento del Sistema de Inspección, Vigilancia y Control para la cadena de maíz.</v>
      </c>
      <c r="B37" s="733">
        <f>'Estimación anualizada '!V36/$B$5</f>
        <v>2057.7055274999998</v>
      </c>
      <c r="C37" s="733">
        <f>SUM('Estimación anualizada '!B36:E36)/$B$5</f>
        <v>2057.7055274999998</v>
      </c>
      <c r="D37" s="733">
        <f>SUM('Estimación anualizada '!F36:M36)/$B$5</f>
        <v>0</v>
      </c>
      <c r="E37" s="733">
        <f>SUM('Estimación anualizada '!N36:U36)/$B$5</f>
        <v>0</v>
      </c>
      <c r="F37" s="185"/>
      <c r="G37" s="185"/>
    </row>
    <row r="38" spans="1:7" s="738" customFormat="1" ht="36" customHeight="1" x14ac:dyDescent="0.25">
      <c r="A38" s="732" t="str">
        <f>'Estimación anualizada '!A37</f>
        <v>9.2. Diseño y mejora de los instrumentos de financiamiento, comercialización, gestión de riesgos y empresarización para la cadena de maíz.</v>
      </c>
      <c r="B38" s="733">
        <f>'Estimación anualizada '!V37/$B$5</f>
        <v>1566.1648700000001</v>
      </c>
      <c r="C38" s="733">
        <f>SUM('Estimación anualizada '!B37:E37)/$B$5</f>
        <v>247.28918999999999</v>
      </c>
      <c r="D38" s="733">
        <f>SUM('Estimación anualizada '!F37:M37)/$B$5</f>
        <v>659.43784000000005</v>
      </c>
      <c r="E38" s="733">
        <f>SUM('Estimación anualizada '!N37:U37)/$B$5</f>
        <v>659.43784000000005</v>
      </c>
      <c r="F38" s="185"/>
      <c r="G38" s="185"/>
    </row>
    <row r="39" spans="1:7" s="738" customFormat="1" ht="39.75" customHeight="1" x14ac:dyDescent="0.25">
      <c r="A39" s="732" t="str">
        <f>'Estimación anualizada '!A38</f>
        <v>9.3. Fortalecimiento de mecanismos institucionales para el impulso a las inversiones en producción de maíz a mediana y gran escala.</v>
      </c>
      <c r="B39" s="733">
        <f>'Estimación anualizada '!V38/$B$5</f>
        <v>3917.8721744999998</v>
      </c>
      <c r="C39" s="733">
        <f>SUM('Estimación anualizada '!B38:E38)/$B$5</f>
        <v>1305.9573915000001</v>
      </c>
      <c r="D39" s="733">
        <f>SUM('Estimación anualizada '!F38:M38)/$B$5</f>
        <v>1305.9573915000001</v>
      </c>
      <c r="E39" s="733">
        <f>SUM('Estimación anualizada '!N38:U38)/$B$5</f>
        <v>1305.9573915000001</v>
      </c>
      <c r="F39" s="185"/>
      <c r="G39" s="185"/>
    </row>
    <row r="40" spans="1:7" s="738" customFormat="1" ht="18.75" customHeight="1" x14ac:dyDescent="0.25">
      <c r="A40" s="732" t="str">
        <f>'Estimación anualizada '!A39</f>
        <v>9.4. Diseño y operación del Sistema nacional de Información para la cadena de maíz.</v>
      </c>
      <c r="B40" s="733">
        <f>'Estimación anualizada '!V39/$B$5</f>
        <v>2117.3948137500001</v>
      </c>
      <c r="C40" s="733">
        <f>SUM('Estimación anualizada '!B39:E39)/$B$5</f>
        <v>423.47896274999999</v>
      </c>
      <c r="D40" s="733">
        <f>SUM('Estimación anualizada '!F39:M39)/$B$5</f>
        <v>1129.2772339999999</v>
      </c>
      <c r="E40" s="733">
        <f>SUM('Estimación anualizada '!N39:U39)/$B$5</f>
        <v>564.63861699999995</v>
      </c>
      <c r="F40" s="185"/>
      <c r="G40" s="185"/>
    </row>
    <row r="41" spans="1:7" s="738" customFormat="1" ht="16.5" customHeight="1" x14ac:dyDescent="0.25">
      <c r="A41" s="734" t="str">
        <f>'Estimación anualizada '!A40</f>
        <v>9.5. Constitución y fortalecimiento de la Organización de Cadena de maíz.</v>
      </c>
      <c r="B41" s="735">
        <f>'Estimación anualizada '!V40/$B$5</f>
        <v>960.94347300000004</v>
      </c>
      <c r="C41" s="735">
        <f>SUM('Estimación anualizada '!B40:E40)/$B$5</f>
        <v>960.94347300000004</v>
      </c>
      <c r="D41" s="735">
        <f>SUM('Estimación anualizada '!F40:M40)/$B$5</f>
        <v>0</v>
      </c>
      <c r="E41" s="735">
        <f>SUM('Estimación anualizada '!N40:U40)/$B$5</f>
        <v>0</v>
      </c>
      <c r="F41" s="185"/>
      <c r="G41" s="185"/>
    </row>
    <row r="42" spans="1:7" s="738" customFormat="1" ht="18" customHeight="1" x14ac:dyDescent="0.25">
      <c r="A42" s="734" t="str">
        <f>'Estimación anualizada '!A41</f>
        <v>9.6. Adopción, promoción y monitoreo de la política pública para la cadena de maíz.</v>
      </c>
      <c r="B42" s="735">
        <f>'Estimación anualizada '!V41/$B$5</f>
        <v>1066.1131290000001</v>
      </c>
      <c r="C42" s="735">
        <f>SUM('Estimación anualizada '!B41:E41)/$B$5</f>
        <v>1066.1131290000001</v>
      </c>
      <c r="D42" s="735">
        <f>SUM('Estimación anualizada '!F41:M41)/$B$5</f>
        <v>0</v>
      </c>
      <c r="E42" s="735">
        <f>SUM('Estimación anualizada '!N41:U41)/$B$5</f>
        <v>0</v>
      </c>
      <c r="F42" s="185"/>
      <c r="G42" s="185"/>
    </row>
    <row r="43" spans="1:7" s="739" customFormat="1" ht="15" x14ac:dyDescent="0.25">
      <c r="A43" s="726" t="s">
        <v>263</v>
      </c>
      <c r="B43" s="728">
        <f>'Estimación anualizada '!V42/$B$5</f>
        <v>4027154.6509093838</v>
      </c>
      <c r="C43" s="728">
        <f>SUM('Estimación anualizada '!B42:E42)/$B$5</f>
        <v>537145.69373623608</v>
      </c>
      <c r="D43" s="728">
        <f>SUM('Estimación anualizada '!F42:M42)/$B$5</f>
        <v>2531803.1176011567</v>
      </c>
      <c r="E43" s="728">
        <f>SUM('Estimación anualizada '!N42:U42)/$B$5</f>
        <v>958205.83957199089</v>
      </c>
      <c r="F43" s="185"/>
      <c r="G43" s="185"/>
    </row>
    <row r="44" spans="1:7" s="740" customFormat="1" ht="15" x14ac:dyDescent="0.25">
      <c r="C44" s="729">
        <f>C43/B43</f>
        <v>0.13338094518295732</v>
      </c>
      <c r="D44" s="729">
        <f>D43/B43</f>
        <v>0.6286828634776771</v>
      </c>
      <c r="E44" s="729">
        <f>E43/B43</f>
        <v>0.23793619133936553</v>
      </c>
      <c r="F44" s="185"/>
      <c r="G44" s="185"/>
    </row>
  </sheetData>
  <sheetProtection algorithmName="SHA-512" hashValue="QULjxDFd8HAGRyTu/E1AUNZMUNK6KLh/hTUZ2/o/5ZxXxX9kLw8A8KkpIkA9P6TpFFPR1pgNfFs3Fk/fajeT8A==" saltValue="MubYw2Aq0SgmkfkDiT44JA==" spinCount="100000" sheet="1" objects="1" scenarios="1"/>
  <mergeCells count="2">
    <mergeCell ref="A1:E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zoomScale="70" zoomScaleNormal="70" workbookViewId="0">
      <selection sqref="A1:P1"/>
    </sheetView>
  </sheetViews>
  <sheetFormatPr baseColWidth="10" defaultColWidth="10.85546875" defaultRowHeight="14.25" x14ac:dyDescent="0.2"/>
  <cols>
    <col min="1" max="1" width="84.140625" style="338" customWidth="1"/>
    <col min="2" max="2" width="28.42578125" style="52" customWidth="1"/>
    <col min="3" max="3" width="10.42578125" style="52" customWidth="1"/>
    <col min="4" max="4" width="10.7109375" style="52" customWidth="1"/>
    <col min="5" max="5" width="16.7109375" style="52" customWidth="1"/>
    <col min="6" max="6" width="18.5703125" style="52" customWidth="1"/>
    <col min="7" max="7" width="16.85546875" style="52" customWidth="1"/>
    <col min="8" max="8" width="15.7109375" style="52" customWidth="1"/>
    <col min="9" max="9" width="25.5703125" style="52" customWidth="1"/>
    <col min="10" max="10" width="21.28515625" style="52" bestFit="1" customWidth="1"/>
    <col min="11" max="11" width="16.42578125" style="52" customWidth="1"/>
    <col min="12" max="12" width="17.85546875" style="52" customWidth="1"/>
    <col min="13" max="13" width="19.5703125" style="52" customWidth="1"/>
    <col min="14" max="14" width="15.7109375" style="52" customWidth="1"/>
    <col min="15" max="15" width="16.7109375" style="52" customWidth="1"/>
    <col min="16" max="16" width="23.28515625" style="52" customWidth="1"/>
    <col min="17" max="17" width="23.140625" style="52" bestFit="1" customWidth="1"/>
    <col min="18" max="16384" width="10.85546875" style="52"/>
  </cols>
  <sheetData>
    <row r="1" spans="1:17" ht="18.600000000000001" customHeight="1" x14ac:dyDescent="0.25">
      <c r="A1" s="847" t="s">
        <v>373</v>
      </c>
      <c r="B1" s="847"/>
      <c r="C1" s="847"/>
      <c r="D1" s="847"/>
      <c r="E1" s="847"/>
      <c r="F1" s="848"/>
      <c r="G1" s="848"/>
      <c r="H1" s="848"/>
      <c r="I1" s="848"/>
      <c r="J1" s="848"/>
      <c r="K1" s="848"/>
      <c r="L1" s="848"/>
      <c r="M1" s="848"/>
      <c r="N1" s="848"/>
      <c r="O1" s="848"/>
      <c r="P1" s="848"/>
    </row>
    <row r="2" spans="1:17" ht="18" customHeight="1" x14ac:dyDescent="0.25">
      <c r="A2" s="847" t="s">
        <v>374</v>
      </c>
      <c r="B2" s="847"/>
      <c r="C2" s="847"/>
      <c r="D2" s="847"/>
      <c r="E2" s="847"/>
      <c r="F2" s="848"/>
      <c r="G2" s="848"/>
      <c r="H2" s="848"/>
      <c r="I2" s="848"/>
      <c r="J2" s="848"/>
      <c r="K2" s="848"/>
      <c r="L2" s="848"/>
      <c r="M2" s="848"/>
      <c r="N2" s="848"/>
      <c r="O2" s="848"/>
      <c r="P2" s="848"/>
    </row>
    <row r="3" spans="1:17" ht="18.75" x14ac:dyDescent="0.3">
      <c r="A3" s="336"/>
      <c r="B3" s="684"/>
      <c r="C3" s="210"/>
      <c r="D3" s="210"/>
      <c r="E3" s="210"/>
    </row>
    <row r="5" spans="1:17" ht="69" customHeight="1" x14ac:dyDescent="0.2">
      <c r="A5" s="337" t="s">
        <v>262</v>
      </c>
      <c r="B5" s="685" t="s">
        <v>304</v>
      </c>
      <c r="C5" s="339" t="s">
        <v>359</v>
      </c>
      <c r="D5" s="341" t="s">
        <v>360</v>
      </c>
      <c r="E5" s="328" t="s">
        <v>361</v>
      </c>
      <c r="F5" s="339" t="s">
        <v>362</v>
      </c>
      <c r="G5" s="341" t="s">
        <v>363</v>
      </c>
      <c r="H5" s="328" t="s">
        <v>364</v>
      </c>
      <c r="I5" s="339" t="s">
        <v>365</v>
      </c>
      <c r="J5" s="339" t="s">
        <v>366</v>
      </c>
      <c r="K5" s="339" t="s">
        <v>367</v>
      </c>
      <c r="L5" s="339" t="s">
        <v>368</v>
      </c>
      <c r="M5" s="347" t="s">
        <v>369</v>
      </c>
      <c r="N5" s="347" t="s">
        <v>370</v>
      </c>
      <c r="O5" s="347" t="s">
        <v>371</v>
      </c>
      <c r="P5" s="347" t="s">
        <v>372</v>
      </c>
    </row>
    <row r="6" spans="1:17" s="330" customFormat="1" ht="15" x14ac:dyDescent="0.25">
      <c r="A6" s="691" t="str">
        <f>'Estimación por período'!A7</f>
        <v>1. Incremento del consumo de maíz nacional.</v>
      </c>
      <c r="B6" s="691">
        <f>'Estimación por período'!B7</f>
        <v>121882.81065498418</v>
      </c>
      <c r="C6" s="692">
        <f>F6/B6</f>
        <v>0.77097857223035604</v>
      </c>
      <c r="D6" s="692">
        <f>G6/B6</f>
        <v>0.22902142776964415</v>
      </c>
      <c r="E6" s="692">
        <f>H6/B6</f>
        <v>0</v>
      </c>
      <c r="F6" s="693">
        <f>F7+F8</f>
        <v>93969.035338202521</v>
      </c>
      <c r="G6" s="693">
        <f t="shared" ref="G6:H6" si="0">G7+G8</f>
        <v>27913.775316781674</v>
      </c>
      <c r="H6" s="693">
        <f t="shared" si="0"/>
        <v>0</v>
      </c>
      <c r="I6" s="692">
        <f>M6/$F$6</f>
        <v>0.48707301805150693</v>
      </c>
      <c r="J6" s="692">
        <f t="shared" ref="J6:L6" si="1">N6/$F$6</f>
        <v>0</v>
      </c>
      <c r="K6" s="692">
        <f t="shared" si="1"/>
        <v>0.31292698194849311</v>
      </c>
      <c r="L6" s="692">
        <f t="shared" si="1"/>
        <v>0.2</v>
      </c>
      <c r="M6" s="693">
        <f>M7+M8</f>
        <v>45769.781645567011</v>
      </c>
      <c r="N6" s="693">
        <f t="shared" ref="N6:P6" si="2">N7+N8</f>
        <v>0</v>
      </c>
      <c r="O6" s="693">
        <f t="shared" si="2"/>
        <v>29405.446624995013</v>
      </c>
      <c r="P6" s="693">
        <f t="shared" si="2"/>
        <v>18793.807067640504</v>
      </c>
      <c r="Q6" s="340"/>
    </row>
    <row r="7" spans="1:17" s="329" customFormat="1" x14ac:dyDescent="0.2">
      <c r="A7" s="195" t="str">
        <f>'Estimación por período'!A8</f>
        <v>1.1. Aumento de la participación del maíz nacional en el mercado de consumo animal.</v>
      </c>
      <c r="B7" s="681">
        <f>'Estimación por período'!B8</f>
        <v>70744.26371569671</v>
      </c>
      <c r="C7" s="333">
        <v>0.75</v>
      </c>
      <c r="D7" s="333">
        <v>0.25</v>
      </c>
      <c r="E7" s="333"/>
      <c r="F7" s="332">
        <f>B7*C7</f>
        <v>53058.197786772536</v>
      </c>
      <c r="G7" s="332">
        <f>B7*D7</f>
        <v>17686.065928924178</v>
      </c>
      <c r="H7" s="332">
        <f>B7*E7</f>
        <v>0</v>
      </c>
      <c r="I7" s="334">
        <v>0.4</v>
      </c>
      <c r="J7" s="334"/>
      <c r="K7" s="334">
        <v>0.4</v>
      </c>
      <c r="L7" s="334">
        <v>0.2</v>
      </c>
      <c r="M7" s="332">
        <f>$F7*I7</f>
        <v>21223.279114709017</v>
      </c>
      <c r="N7" s="332">
        <f>F7*J7</f>
        <v>0</v>
      </c>
      <c r="O7" s="332">
        <f>F7*K7</f>
        <v>21223.279114709017</v>
      </c>
      <c r="P7" s="332">
        <f>F7*L7</f>
        <v>10611.639557354509</v>
      </c>
      <c r="Q7" s="686"/>
    </row>
    <row r="8" spans="1:17" s="329" customFormat="1" ht="28.5" x14ac:dyDescent="0.2">
      <c r="A8" s="195" t="str">
        <f>'Estimación por período'!A9</f>
        <v>1.2. Posicionamiento de la oferta del maíz nacional y sus derivados, para alimentación humana y otros usos.</v>
      </c>
      <c r="B8" s="681">
        <f>'Estimación por período'!B9</f>
        <v>51138.54693928748</v>
      </c>
      <c r="C8" s="333">
        <v>0.8</v>
      </c>
      <c r="D8" s="333">
        <v>0.2</v>
      </c>
      <c r="E8" s="333"/>
      <c r="F8" s="332">
        <f>B8*C8</f>
        <v>40910.837551429984</v>
      </c>
      <c r="G8" s="332">
        <f>B8*D8</f>
        <v>10227.709387857496</v>
      </c>
      <c r="H8" s="332">
        <f>B8*E8</f>
        <v>0</v>
      </c>
      <c r="I8" s="334">
        <v>0.6</v>
      </c>
      <c r="J8" s="335"/>
      <c r="K8" s="334">
        <v>0.2</v>
      </c>
      <c r="L8" s="334">
        <v>0.2</v>
      </c>
      <c r="M8" s="332">
        <f t="shared" ref="M8:M41" si="3">$F8*I8</f>
        <v>24546.50253085799</v>
      </c>
      <c r="N8" s="332">
        <f t="shared" ref="N8:N41" si="4">F8*J8</f>
        <v>0</v>
      </c>
      <c r="O8" s="332">
        <f t="shared" ref="O8:O41" si="5">F8*K8</f>
        <v>8182.1675102859972</v>
      </c>
      <c r="P8" s="332">
        <f t="shared" ref="P8:P41" si="6">F8*L8</f>
        <v>8182.1675102859972</v>
      </c>
      <c r="Q8" s="686"/>
    </row>
    <row r="9" spans="1:17" s="330" customFormat="1" ht="15" x14ac:dyDescent="0.25">
      <c r="A9" s="691" t="str">
        <f>'Estimación por período'!A10</f>
        <v>2. Mejoramiento productivo del cultivo de maíz.</v>
      </c>
      <c r="B9" s="691">
        <f>'Estimación por período'!B10</f>
        <v>1389747.2401470947</v>
      </c>
      <c r="C9" s="692">
        <f>F9/B9</f>
        <v>0.94327220888039331</v>
      </c>
      <c r="D9" s="692">
        <f>G9/B9</f>
        <v>3.5060972775493471E-2</v>
      </c>
      <c r="E9" s="692">
        <f>H9/B9</f>
        <v>2.166681834411318E-2</v>
      </c>
      <c r="F9" s="694">
        <f>SUM(F10:F12)</f>
        <v>1310909.9489989805</v>
      </c>
      <c r="G9" s="694">
        <f t="shared" ref="G9:H9" si="7">SUM(G10:G12)</f>
        <v>48725.890151614476</v>
      </c>
      <c r="H9" s="694">
        <f t="shared" si="7"/>
        <v>30111.400996499739</v>
      </c>
      <c r="I9" s="692">
        <f>M9/F9</f>
        <v>0.87683916419022812</v>
      </c>
      <c r="J9" s="692">
        <f>N9/F9</f>
        <v>0</v>
      </c>
      <c r="K9" s="692">
        <f>O9/F9</f>
        <v>0.11668264078868372</v>
      </c>
      <c r="L9" s="692">
        <f>P9/F9</f>
        <v>6.4781950210884868E-3</v>
      </c>
      <c r="M9" s="695">
        <f>M11+M12+M10</f>
        <v>1149457.1840089206</v>
      </c>
      <c r="N9" s="695">
        <f t="shared" ref="N9:P9" si="8">N11+N12+N10</f>
        <v>0</v>
      </c>
      <c r="O9" s="695">
        <f t="shared" si="8"/>
        <v>152960.43468535974</v>
      </c>
      <c r="P9" s="695">
        <f t="shared" si="8"/>
        <v>8492.3303047005575</v>
      </c>
      <c r="Q9" s="686"/>
    </row>
    <row r="10" spans="1:17" s="330" customFormat="1" ht="28.5" x14ac:dyDescent="0.25">
      <c r="A10" s="195" t="str">
        <f>'Estimación por período'!A11</f>
        <v>2.1. Fortalecimiento de la extensión agrícola y asistencia técnica a los productores del sistema tradicional.</v>
      </c>
      <c r="B10" s="681">
        <f>'Estimación por período'!B11</f>
        <v>82225.694130594784</v>
      </c>
      <c r="C10" s="333">
        <v>0.85</v>
      </c>
      <c r="D10" s="333">
        <v>0.1</v>
      </c>
      <c r="E10" s="333">
        <v>0.05</v>
      </c>
      <c r="F10" s="332">
        <f>B10*C10</f>
        <v>69891.840011005566</v>
      </c>
      <c r="G10" s="332">
        <f>B10*D10</f>
        <v>8222.5694130594784</v>
      </c>
      <c r="H10" s="332">
        <f>B10*E10</f>
        <v>4111.2847065297392</v>
      </c>
      <c r="I10" s="334">
        <v>0.5</v>
      </c>
      <c r="J10" s="335"/>
      <c r="K10" s="334">
        <v>0.4</v>
      </c>
      <c r="L10" s="334">
        <v>0.1</v>
      </c>
      <c r="M10" s="332">
        <f t="shared" ref="M10" si="9">$F10*I10</f>
        <v>34945.920005502783</v>
      </c>
      <c r="N10" s="332">
        <f t="shared" ref="N10" si="10">F10*J10</f>
        <v>0</v>
      </c>
      <c r="O10" s="332">
        <f t="shared" ref="O10" si="11">F10*K10</f>
        <v>27956.736004402228</v>
      </c>
      <c r="P10" s="332">
        <f t="shared" ref="P10" si="12">F10*L10</f>
        <v>6989.184001100557</v>
      </c>
      <c r="Q10" s="686"/>
    </row>
    <row r="11" spans="1:17" s="329" customFormat="1" ht="28.5" x14ac:dyDescent="0.2">
      <c r="A11" s="195" t="str">
        <f>'Estimación por período'!A12</f>
        <v>2.2. Implementación efectiva de asistencia técnica profesional, en sistemas tecnificados de maíz.</v>
      </c>
      <c r="B11" s="681">
        <f>'Estimación por período'!B12</f>
        <v>1300005.8144985</v>
      </c>
      <c r="C11" s="333">
        <v>0.95</v>
      </c>
      <c r="D11" s="333">
        <v>0.03</v>
      </c>
      <c r="E11" s="333">
        <v>0.02</v>
      </c>
      <c r="F11" s="332">
        <f>B11*C11</f>
        <v>1235005.523773575</v>
      </c>
      <c r="G11" s="332">
        <f>B11*D11</f>
        <v>39000.174434954999</v>
      </c>
      <c r="H11" s="332">
        <f>B11*E11</f>
        <v>26000.116289969999</v>
      </c>
      <c r="I11" s="334">
        <v>0.9</v>
      </c>
      <c r="J11" s="335"/>
      <c r="K11" s="334">
        <v>0.1</v>
      </c>
      <c r="L11" s="334"/>
      <c r="M11" s="332">
        <f t="shared" si="3"/>
        <v>1111504.9713962176</v>
      </c>
      <c r="N11" s="332">
        <f t="shared" si="4"/>
        <v>0</v>
      </c>
      <c r="O11" s="332">
        <f t="shared" si="5"/>
        <v>123500.5523773575</v>
      </c>
      <c r="P11" s="332">
        <f t="shared" si="6"/>
        <v>0</v>
      </c>
      <c r="Q11" s="686"/>
    </row>
    <row r="12" spans="1:17" s="329" customFormat="1" x14ac:dyDescent="0.2">
      <c r="A12" s="195" t="str">
        <f>'Estimación por período'!A13</f>
        <v xml:space="preserve">2.3. Impulso a la producción de maíz a mediana y gran escala.  </v>
      </c>
      <c r="B12" s="681">
        <f>'Estimación por período'!B13</f>
        <v>7515.7315179999996</v>
      </c>
      <c r="C12" s="333">
        <v>0.8</v>
      </c>
      <c r="D12" s="333">
        <v>0.2</v>
      </c>
      <c r="E12" s="333"/>
      <c r="F12" s="332">
        <f>B12*C12</f>
        <v>6012.5852144</v>
      </c>
      <c r="G12" s="332">
        <f>B12*D12</f>
        <v>1503.1463036</v>
      </c>
      <c r="H12" s="332">
        <f t="shared" ref="H12:H41" si="13">B12*E12</f>
        <v>0</v>
      </c>
      <c r="I12" s="334">
        <v>0.5</v>
      </c>
      <c r="J12" s="335"/>
      <c r="K12" s="334">
        <v>0.25</v>
      </c>
      <c r="L12" s="334">
        <v>0.25</v>
      </c>
      <c r="M12" s="332">
        <f t="shared" si="3"/>
        <v>3006.2926072</v>
      </c>
      <c r="N12" s="332">
        <f t="shared" si="4"/>
        <v>0</v>
      </c>
      <c r="O12" s="332">
        <f t="shared" si="5"/>
        <v>1503.1463036</v>
      </c>
      <c r="P12" s="332">
        <f t="shared" si="6"/>
        <v>1503.1463036</v>
      </c>
      <c r="Q12" s="686"/>
    </row>
    <row r="13" spans="1:17" s="330" customFormat="1" ht="30" x14ac:dyDescent="0.25">
      <c r="A13" s="691" t="str">
        <f>'Estimación por período'!A14</f>
        <v xml:space="preserve">3. Generación y consolidación de encadenamientos regionales para la cadena de maíz. </v>
      </c>
      <c r="B13" s="691">
        <f>'Estimación por período'!B14</f>
        <v>2158210.4753019316</v>
      </c>
      <c r="C13" s="692">
        <f>F13/B13</f>
        <v>0.98464393514032378</v>
      </c>
      <c r="D13" s="692">
        <f>G13/B13</f>
        <v>1.4798631416892109E-2</v>
      </c>
      <c r="E13" s="692">
        <f>H13/B13</f>
        <v>5.5743344278397743E-4</v>
      </c>
      <c r="F13" s="694">
        <f>F14+F15+F16+F17+F18</f>
        <v>2125068.8552623624</v>
      </c>
      <c r="G13" s="694">
        <f t="shared" ref="G13:H13" si="14">G14+G15+G16+G17+G18</f>
        <v>31938.561344068818</v>
      </c>
      <c r="H13" s="694">
        <f t="shared" si="14"/>
        <v>1203.0586955000001</v>
      </c>
      <c r="I13" s="692">
        <f>M13/F13</f>
        <v>0.94239873868974444</v>
      </c>
      <c r="J13" s="692">
        <f>N13/F13</f>
        <v>0</v>
      </c>
      <c r="K13" s="692">
        <f>O13/F13</f>
        <v>5.7120053424382852E-2</v>
      </c>
      <c r="L13" s="692">
        <f>P13/F13</f>
        <v>4.8120788587283179E-4</v>
      </c>
      <c r="M13" s="695">
        <f>M14+M15+M16+M17+M18</f>
        <v>2002662.2088281093</v>
      </c>
      <c r="N13" s="695">
        <f t="shared" ref="N13:P13" si="15">N14+N15+N16+N17+N18</f>
        <v>0</v>
      </c>
      <c r="O13" s="695">
        <f t="shared" si="15"/>
        <v>121384.04654307825</v>
      </c>
      <c r="P13" s="695">
        <f t="shared" si="15"/>
        <v>1022.5998911750002</v>
      </c>
      <c r="Q13" s="686"/>
    </row>
    <row r="14" spans="1:17" s="329" customFormat="1" ht="28.5" x14ac:dyDescent="0.2">
      <c r="A14" s="195" t="str">
        <f>'Estimación por período'!A15</f>
        <v>3.1. Promoción y fortalecimiento de organizaciones de economía solidaria en la cadena de maíz.</v>
      </c>
      <c r="B14" s="681">
        <f>'Estimación por período'!B15</f>
        <v>24061.173910000001</v>
      </c>
      <c r="C14" s="333">
        <v>0.85</v>
      </c>
      <c r="D14" s="333">
        <v>0.1</v>
      </c>
      <c r="E14" s="333">
        <v>0.05</v>
      </c>
      <c r="F14" s="332">
        <f>B14*C14</f>
        <v>20451.997823500002</v>
      </c>
      <c r="G14" s="332">
        <f>B14*D14</f>
        <v>2406.1173910000002</v>
      </c>
      <c r="H14" s="332">
        <f>B14*E14</f>
        <v>1203.0586955000001</v>
      </c>
      <c r="I14" s="334">
        <v>0.75</v>
      </c>
      <c r="J14" s="335"/>
      <c r="K14" s="334">
        <v>0.2</v>
      </c>
      <c r="L14" s="334">
        <v>0.05</v>
      </c>
      <c r="M14" s="332">
        <f t="shared" si="3"/>
        <v>15338.998367625001</v>
      </c>
      <c r="N14" s="332">
        <f t="shared" si="4"/>
        <v>0</v>
      </c>
      <c r="O14" s="332">
        <f t="shared" si="5"/>
        <v>4090.3995647000006</v>
      </c>
      <c r="P14" s="332">
        <f t="shared" si="6"/>
        <v>1022.5998911750002</v>
      </c>
      <c r="Q14" s="686"/>
    </row>
    <row r="15" spans="1:17" s="329" customFormat="1" ht="28.5" x14ac:dyDescent="0.2">
      <c r="A15" s="195" t="str">
        <f>'Estimación por período'!A16</f>
        <v>3.2. Promoción de la integración y las alianzas estratégicas regionales en la cadena de maíz.</v>
      </c>
      <c r="B15" s="681">
        <f>'Estimación por período'!B16</f>
        <v>37997.628165499998</v>
      </c>
      <c r="C15" s="333">
        <v>0.9</v>
      </c>
      <c r="D15" s="333">
        <v>0.1</v>
      </c>
      <c r="E15" s="333"/>
      <c r="F15" s="332">
        <f>B15*C15</f>
        <v>34197.865348949999</v>
      </c>
      <c r="G15" s="332">
        <f>B15*D15</f>
        <v>3799.76281655</v>
      </c>
      <c r="H15" s="332">
        <f t="shared" si="13"/>
        <v>0</v>
      </c>
      <c r="I15" s="334">
        <v>0.7</v>
      </c>
      <c r="J15" s="335"/>
      <c r="K15" s="334">
        <v>0.3</v>
      </c>
      <c r="L15" s="334"/>
      <c r="M15" s="332">
        <f t="shared" si="3"/>
        <v>23938.505744265</v>
      </c>
      <c r="N15" s="332">
        <f t="shared" si="4"/>
        <v>0</v>
      </c>
      <c r="O15" s="332">
        <f t="shared" si="5"/>
        <v>10259.359604685</v>
      </c>
      <c r="P15" s="332">
        <f t="shared" si="6"/>
        <v>0</v>
      </c>
      <c r="Q15" s="686"/>
    </row>
    <row r="16" spans="1:17" s="329" customFormat="1" ht="28.5" x14ac:dyDescent="0.2">
      <c r="A16" s="196" t="str">
        <f>'Estimación por período'!A17</f>
        <v>3.3. Aumento de la capacidad instalada regional para el secamiento, almacenamiento, y procesamiento agroindustrial de maíz.</v>
      </c>
      <c r="B16" s="682">
        <f>'Estimación por período'!B17</f>
        <v>2055072.6567460415</v>
      </c>
      <c r="C16" s="333">
        <v>0.99</v>
      </c>
      <c r="D16" s="333">
        <v>0.01</v>
      </c>
      <c r="E16" s="333"/>
      <c r="F16" s="332">
        <f>B16*C16</f>
        <v>2034521.930178581</v>
      </c>
      <c r="G16" s="332">
        <f>B16*D16</f>
        <v>20550.726567460417</v>
      </c>
      <c r="H16" s="332">
        <f t="shared" si="13"/>
        <v>0</v>
      </c>
      <c r="I16" s="334">
        <v>0.95</v>
      </c>
      <c r="J16" s="335"/>
      <c r="K16" s="334">
        <v>0.05</v>
      </c>
      <c r="L16" s="334"/>
      <c r="M16" s="332">
        <f t="shared" si="3"/>
        <v>1932795.833669652</v>
      </c>
      <c r="N16" s="332">
        <f t="shared" si="4"/>
        <v>0</v>
      </c>
      <c r="O16" s="332">
        <f t="shared" si="5"/>
        <v>101726.09650892905</v>
      </c>
      <c r="P16" s="332">
        <f t="shared" si="6"/>
        <v>0</v>
      </c>
      <c r="Q16" s="686"/>
    </row>
    <row r="17" spans="1:17" s="329" customFormat="1" x14ac:dyDescent="0.2">
      <c r="A17" s="196" t="str">
        <f>'Estimación por período'!A18</f>
        <v xml:space="preserve">3.4. Fortalecimiento de la oferta de insumos y servicios asociados a la cadena. </v>
      </c>
      <c r="B17" s="682">
        <f>'Estimación por período'!B18</f>
        <v>30338.487270195987</v>
      </c>
      <c r="C17" s="333">
        <v>0.9</v>
      </c>
      <c r="D17" s="333">
        <v>0.1</v>
      </c>
      <c r="E17" s="333"/>
      <c r="F17" s="332">
        <f t="shared" ref="F17:F41" si="16">B17*C17</f>
        <v>27304.638543176388</v>
      </c>
      <c r="G17" s="332">
        <f t="shared" ref="G17:G41" si="17">B17*D17</f>
        <v>3033.8487270195988</v>
      </c>
      <c r="H17" s="332">
        <f t="shared" si="13"/>
        <v>0</v>
      </c>
      <c r="I17" s="334">
        <v>0.9</v>
      </c>
      <c r="J17" s="335"/>
      <c r="K17" s="334">
        <v>0.1</v>
      </c>
      <c r="L17" s="334"/>
      <c r="M17" s="332">
        <f t="shared" si="3"/>
        <v>24574.174688858751</v>
      </c>
      <c r="N17" s="332">
        <f t="shared" si="4"/>
        <v>0</v>
      </c>
      <c r="O17" s="332">
        <f t="shared" si="5"/>
        <v>2730.4638543176388</v>
      </c>
      <c r="P17" s="332">
        <f t="shared" si="6"/>
        <v>0</v>
      </c>
      <c r="Q17" s="686"/>
    </row>
    <row r="18" spans="1:17" s="329" customFormat="1" ht="28.5" x14ac:dyDescent="0.2">
      <c r="A18" s="196" t="str">
        <f>'Estimación por período'!A19</f>
        <v>3.5. Mejora del entorno productivo para las grandes inversiones en las regiones maiceras.</v>
      </c>
      <c r="B18" s="682">
        <f>'Estimación por período'!B19</f>
        <v>10740.529210193999</v>
      </c>
      <c r="C18" s="333">
        <v>0.8</v>
      </c>
      <c r="D18" s="333">
        <v>0.2</v>
      </c>
      <c r="E18" s="333"/>
      <c r="F18" s="332">
        <f t="shared" si="16"/>
        <v>8592.4233681551996</v>
      </c>
      <c r="G18" s="332">
        <f t="shared" si="17"/>
        <v>2148.1058420387999</v>
      </c>
      <c r="H18" s="332">
        <f t="shared" si="13"/>
        <v>0</v>
      </c>
      <c r="I18" s="334">
        <v>0.7</v>
      </c>
      <c r="J18" s="335"/>
      <c r="K18" s="334">
        <v>0.3</v>
      </c>
      <c r="L18" s="334"/>
      <c r="M18" s="332">
        <f t="shared" si="3"/>
        <v>6014.696357708639</v>
      </c>
      <c r="N18" s="332">
        <f t="shared" si="4"/>
        <v>0</v>
      </c>
      <c r="O18" s="332">
        <f t="shared" si="5"/>
        <v>2577.7270104465597</v>
      </c>
      <c r="P18" s="332">
        <f t="shared" si="6"/>
        <v>0</v>
      </c>
      <c r="Q18" s="686"/>
    </row>
    <row r="19" spans="1:17" s="330" customFormat="1" ht="15" x14ac:dyDescent="0.25">
      <c r="A19" s="696" t="str">
        <f>'Estimación por período'!A20</f>
        <v xml:space="preserve">4. Mejora de la gestión del agua y del suelo en el cultivo de maíz. </v>
      </c>
      <c r="B19" s="691">
        <f>'Estimación por período'!B20</f>
        <v>117563.78773325002</v>
      </c>
      <c r="C19" s="692">
        <f>F19/B19</f>
        <v>0.69999999999999984</v>
      </c>
      <c r="D19" s="692">
        <f>G19/B19</f>
        <v>0.2</v>
      </c>
      <c r="E19" s="692">
        <f>H19/B19</f>
        <v>0.1</v>
      </c>
      <c r="F19" s="694">
        <f>F20+F21</f>
        <v>82294.651413275002</v>
      </c>
      <c r="G19" s="694">
        <f t="shared" ref="G19:H19" si="18">G20+G21</f>
        <v>23512.757546650006</v>
      </c>
      <c r="H19" s="694">
        <f t="shared" si="18"/>
        <v>11756.378773325003</v>
      </c>
      <c r="I19" s="697">
        <f>M19/F19</f>
        <v>0.29999999999999993</v>
      </c>
      <c r="J19" s="697">
        <f>N19/F19</f>
        <v>0.35</v>
      </c>
      <c r="K19" s="697">
        <f>O19/F19</f>
        <v>0.35</v>
      </c>
      <c r="L19" s="697">
        <f>P19/F19</f>
        <v>0</v>
      </c>
      <c r="M19" s="695">
        <f>M20+M21</f>
        <v>24688.395423982496</v>
      </c>
      <c r="N19" s="695">
        <f t="shared" ref="N19:P19" si="19">N20+N21</f>
        <v>28803.127994646249</v>
      </c>
      <c r="O19" s="695">
        <f t="shared" si="19"/>
        <v>28803.127994646249</v>
      </c>
      <c r="P19" s="695">
        <f t="shared" si="19"/>
        <v>0</v>
      </c>
      <c r="Q19" s="686"/>
    </row>
    <row r="20" spans="1:17" s="329" customFormat="1" x14ac:dyDescent="0.2">
      <c r="A20" s="195" t="str">
        <f>'Estimación por período'!A21</f>
        <v>4.1. Contribución a la gestión del ordenamiento ambiental, fuera de la frontera agrícola.</v>
      </c>
      <c r="B20" s="681">
        <f>'Estimación por período'!B21</f>
        <v>3089.5396350000001</v>
      </c>
      <c r="C20" s="333">
        <v>0.7</v>
      </c>
      <c r="D20" s="333">
        <v>0.2</v>
      </c>
      <c r="E20" s="333">
        <v>0.1</v>
      </c>
      <c r="F20" s="332">
        <f t="shared" si="16"/>
        <v>2162.6777444999998</v>
      </c>
      <c r="G20" s="332">
        <f t="shared" si="17"/>
        <v>617.90792700000009</v>
      </c>
      <c r="H20" s="332">
        <f t="shared" si="13"/>
        <v>308.95396350000004</v>
      </c>
      <c r="I20" s="334">
        <v>0.3</v>
      </c>
      <c r="J20" s="335">
        <v>0.35</v>
      </c>
      <c r="K20" s="334">
        <v>0.35</v>
      </c>
      <c r="L20" s="334"/>
      <c r="M20" s="332">
        <f t="shared" si="3"/>
        <v>648.80332334999991</v>
      </c>
      <c r="N20" s="332">
        <f t="shared" si="4"/>
        <v>756.93721057499988</v>
      </c>
      <c r="O20" s="332">
        <f t="shared" si="5"/>
        <v>756.93721057499988</v>
      </c>
      <c r="P20" s="332">
        <f t="shared" si="6"/>
        <v>0</v>
      </c>
      <c r="Q20" s="686"/>
    </row>
    <row r="21" spans="1:17" s="329" customFormat="1" x14ac:dyDescent="0.2">
      <c r="A21" s="195" t="str">
        <f>'Estimación por período'!A22</f>
        <v>4.2. Promoción del manejo eficiente del suelo y del agua, en la producción de maíz.</v>
      </c>
      <c r="B21" s="681">
        <f>'Estimación por período'!B22</f>
        <v>114474.24809825001</v>
      </c>
      <c r="C21" s="333">
        <v>0.7</v>
      </c>
      <c r="D21" s="333">
        <v>0.2</v>
      </c>
      <c r="E21" s="333">
        <v>0.1</v>
      </c>
      <c r="F21" s="332">
        <f t="shared" si="16"/>
        <v>80131.973668774997</v>
      </c>
      <c r="G21" s="332">
        <f t="shared" si="17"/>
        <v>22894.849619650005</v>
      </c>
      <c r="H21" s="332">
        <f t="shared" si="13"/>
        <v>11447.424809825003</v>
      </c>
      <c r="I21" s="334">
        <v>0.3</v>
      </c>
      <c r="J21" s="335">
        <v>0.35</v>
      </c>
      <c r="K21" s="334">
        <v>0.35</v>
      </c>
      <c r="L21" s="334"/>
      <c r="M21" s="332">
        <f t="shared" si="3"/>
        <v>24039.592100632497</v>
      </c>
      <c r="N21" s="332">
        <f t="shared" si="4"/>
        <v>28046.190784071248</v>
      </c>
      <c r="O21" s="332">
        <f t="shared" si="5"/>
        <v>28046.190784071248</v>
      </c>
      <c r="P21" s="332">
        <f t="shared" si="6"/>
        <v>0</v>
      </c>
      <c r="Q21" s="686"/>
    </row>
    <row r="22" spans="1:17" s="330" customFormat="1" ht="15" x14ac:dyDescent="0.25">
      <c r="A22" s="696" t="str">
        <f>'Estimación por período'!A23</f>
        <v>5. Fortalecimiento de la gestión ambiental en la cadena maicera.</v>
      </c>
      <c r="B22" s="691">
        <f>'Estimación por período'!B23</f>
        <v>21593.230348064</v>
      </c>
      <c r="C22" s="692">
        <f>F22/B22</f>
        <v>0.7</v>
      </c>
      <c r="D22" s="692">
        <f>G22/B22</f>
        <v>0.20000000000000004</v>
      </c>
      <c r="E22" s="692">
        <f>H22/B22</f>
        <v>0.10000000000000002</v>
      </c>
      <c r="F22" s="694">
        <f>F23</f>
        <v>15115.2612436448</v>
      </c>
      <c r="G22" s="694">
        <f>G23</f>
        <v>4318.6460696128006</v>
      </c>
      <c r="H22" s="694">
        <f>H23</f>
        <v>2159.3230348064003</v>
      </c>
      <c r="I22" s="697">
        <f>M22/F22</f>
        <v>0.5</v>
      </c>
      <c r="J22" s="697">
        <f>N22/F22</f>
        <v>0.25</v>
      </c>
      <c r="K22" s="697">
        <f>O22/F22</f>
        <v>0.25</v>
      </c>
      <c r="L22" s="697">
        <f>P22/F22</f>
        <v>0</v>
      </c>
      <c r="M22" s="695">
        <f>M23</f>
        <v>7557.6306218223999</v>
      </c>
      <c r="N22" s="695">
        <f t="shared" ref="N22:P22" si="20">N23</f>
        <v>3778.8153109112</v>
      </c>
      <c r="O22" s="695">
        <f t="shared" si="20"/>
        <v>3778.8153109112</v>
      </c>
      <c r="P22" s="695">
        <f t="shared" si="20"/>
        <v>0</v>
      </c>
      <c r="Q22" s="686"/>
    </row>
    <row r="23" spans="1:17" s="329" customFormat="1" x14ac:dyDescent="0.2">
      <c r="A23" s="195" t="str">
        <f>'Estimación por período'!A24</f>
        <v>5.1. Mejora del desempeño ambiental de la cadena de maíz.</v>
      </c>
      <c r="B23" s="681">
        <f>'Estimación por período'!B24</f>
        <v>21593.230348064</v>
      </c>
      <c r="C23" s="333">
        <v>0.7</v>
      </c>
      <c r="D23" s="333">
        <v>0.2</v>
      </c>
      <c r="E23" s="333">
        <v>0.1</v>
      </c>
      <c r="F23" s="332">
        <f t="shared" si="16"/>
        <v>15115.2612436448</v>
      </c>
      <c r="G23" s="332">
        <f t="shared" si="17"/>
        <v>4318.6460696128006</v>
      </c>
      <c r="H23" s="332">
        <f t="shared" si="13"/>
        <v>2159.3230348064003</v>
      </c>
      <c r="I23" s="334">
        <v>0.5</v>
      </c>
      <c r="J23" s="335">
        <v>0.25</v>
      </c>
      <c r="K23" s="334">
        <v>0.25</v>
      </c>
      <c r="L23" s="334">
        <v>0</v>
      </c>
      <c r="M23" s="332">
        <f t="shared" si="3"/>
        <v>7557.6306218223999</v>
      </c>
      <c r="N23" s="332">
        <f t="shared" si="4"/>
        <v>3778.8153109112</v>
      </c>
      <c r="O23" s="332">
        <f t="shared" si="5"/>
        <v>3778.8153109112</v>
      </c>
      <c r="P23" s="332">
        <f t="shared" si="6"/>
        <v>0</v>
      </c>
      <c r="Q23" s="686"/>
    </row>
    <row r="24" spans="1:17" s="330" customFormat="1" ht="30" x14ac:dyDescent="0.25">
      <c r="A24" s="696" t="str">
        <f>'Estimación por período'!A25</f>
        <v xml:space="preserve">6. Contribución al mejoramiento en las condiciones de vida de la población vinculada a la cadena de maíz. </v>
      </c>
      <c r="B24" s="691">
        <f>'Estimación por período'!B25</f>
        <v>126997.58260330002</v>
      </c>
      <c r="C24" s="692">
        <f>F24/B24</f>
        <v>0.84852660904609889</v>
      </c>
      <c r="D24" s="692">
        <f>G24/B24</f>
        <v>0.10294678190780204</v>
      </c>
      <c r="E24" s="692">
        <f>H24/B24</f>
        <v>4.8526609046098984E-2</v>
      </c>
      <c r="F24" s="694">
        <f>SUM(F25:F28)</f>
        <v>107760.82812343001</v>
      </c>
      <c r="G24" s="694">
        <f t="shared" ref="G24:H24" si="21">SUM(G25:G28)</f>
        <v>13073.992439080002</v>
      </c>
      <c r="H24" s="694">
        <f t="shared" si="21"/>
        <v>6162.7620407900013</v>
      </c>
      <c r="I24" s="697">
        <f>M24/F24</f>
        <v>0.5</v>
      </c>
      <c r="J24" s="697">
        <f>N24/F24</f>
        <v>5.0961171940232891E-2</v>
      </c>
      <c r="K24" s="697">
        <f>O24/F24</f>
        <v>0.35181708569024006</v>
      </c>
      <c r="L24" s="697">
        <f>P24/F24</f>
        <v>9.7221742369527089E-2</v>
      </c>
      <c r="M24" s="695">
        <f>SUM(M25:M28)</f>
        <v>53880.414061715004</v>
      </c>
      <c r="N24" s="695">
        <f t="shared" ref="N24:P24" si="22">SUM(N25:N28)</f>
        <v>5491.618090420001</v>
      </c>
      <c r="O24" s="695">
        <f t="shared" si="22"/>
        <v>37912.100501952009</v>
      </c>
      <c r="P24" s="695">
        <f t="shared" si="22"/>
        <v>10476.695469343002</v>
      </c>
      <c r="Q24" s="686"/>
    </row>
    <row r="25" spans="1:17" s="329" customFormat="1" ht="28.5" x14ac:dyDescent="0.2">
      <c r="A25" s="195" t="str">
        <f>'Estimación por período'!A26</f>
        <v>6.1  Promoción de la atención de las necesidades básicas de los actores vinculados a la cadena.</v>
      </c>
      <c r="B25" s="681">
        <f>'Estimación por período'!B26</f>
        <v>64607.271652000003</v>
      </c>
      <c r="C25" s="333">
        <v>0.85</v>
      </c>
      <c r="D25" s="333">
        <v>0.1</v>
      </c>
      <c r="E25" s="333">
        <v>0.05</v>
      </c>
      <c r="F25" s="332">
        <f>B25*C25</f>
        <v>54916.180904200002</v>
      </c>
      <c r="G25" s="332">
        <f>B25*D25</f>
        <v>6460.7271652000009</v>
      </c>
      <c r="H25" s="332">
        <f>B25*E25</f>
        <v>3230.3635826000004</v>
      </c>
      <c r="I25" s="334">
        <v>0.5</v>
      </c>
      <c r="J25" s="335">
        <v>0.1</v>
      </c>
      <c r="K25" s="334">
        <v>0.3</v>
      </c>
      <c r="L25" s="334">
        <v>0.1</v>
      </c>
      <c r="M25" s="332">
        <f t="shared" si="3"/>
        <v>27458.090452100001</v>
      </c>
      <c r="N25" s="332">
        <f t="shared" si="4"/>
        <v>5491.618090420001</v>
      </c>
      <c r="O25" s="332">
        <f t="shared" si="5"/>
        <v>16474.854271259999</v>
      </c>
      <c r="P25" s="332">
        <f t="shared" si="6"/>
        <v>5491.618090420001</v>
      </c>
      <c r="Q25" s="686"/>
    </row>
    <row r="26" spans="1:17" s="329" customFormat="1" ht="28.5" x14ac:dyDescent="0.2">
      <c r="A26" s="195" t="str">
        <f>'Estimación por período'!A27</f>
        <v>6.2. Contribución al incremento del nivel educativo de los actores vinculados a la cadena.</v>
      </c>
      <c r="B26" s="681">
        <f>'Estimación por período'!B27</f>
        <v>13629.695771999999</v>
      </c>
      <c r="C26" s="333">
        <v>0.85</v>
      </c>
      <c r="D26" s="333">
        <v>0.1</v>
      </c>
      <c r="E26" s="333">
        <v>0.05</v>
      </c>
      <c r="F26" s="332">
        <f t="shared" si="16"/>
        <v>11585.241406199999</v>
      </c>
      <c r="G26" s="332">
        <f t="shared" si="17"/>
        <v>1362.9695772</v>
      </c>
      <c r="H26" s="332">
        <f t="shared" si="13"/>
        <v>681.4847886</v>
      </c>
      <c r="I26" s="334">
        <v>0.5</v>
      </c>
      <c r="J26" s="335"/>
      <c r="K26" s="334">
        <v>0.4</v>
      </c>
      <c r="L26" s="334">
        <v>0.1</v>
      </c>
      <c r="M26" s="332">
        <f t="shared" si="3"/>
        <v>5792.6207030999994</v>
      </c>
      <c r="N26" s="332">
        <f t="shared" si="4"/>
        <v>0</v>
      </c>
      <c r="O26" s="332">
        <f t="shared" si="5"/>
        <v>4634.0965624800001</v>
      </c>
      <c r="P26" s="332">
        <f t="shared" si="6"/>
        <v>1158.52414062</v>
      </c>
      <c r="Q26" s="686"/>
    </row>
    <row r="27" spans="1:17" s="329" customFormat="1" ht="28.5" x14ac:dyDescent="0.2">
      <c r="A27" s="195" t="str">
        <f>'Estimación por período'!A28</f>
        <v>6.3. Promoción al  acceso en la seguridad social y mejora en las condiciones laborales a lo largo de la cadena</v>
      </c>
      <c r="B27" s="681">
        <f>'Estimación por período'!B28</f>
        <v>45018.273391800009</v>
      </c>
      <c r="C27" s="333">
        <v>0.85</v>
      </c>
      <c r="D27" s="333">
        <v>0.1</v>
      </c>
      <c r="E27" s="333">
        <v>0.05</v>
      </c>
      <c r="F27" s="332">
        <f t="shared" si="16"/>
        <v>38265.532383030004</v>
      </c>
      <c r="G27" s="332">
        <f t="shared" si="17"/>
        <v>4501.8273391800012</v>
      </c>
      <c r="H27" s="332">
        <f t="shared" si="13"/>
        <v>2250.9136695900006</v>
      </c>
      <c r="I27" s="334">
        <v>0.5</v>
      </c>
      <c r="J27" s="335"/>
      <c r="K27" s="334">
        <v>0.4</v>
      </c>
      <c r="L27" s="334">
        <v>0.1</v>
      </c>
      <c r="M27" s="332">
        <f t="shared" si="3"/>
        <v>19132.766191515002</v>
      </c>
      <c r="N27" s="332">
        <f t="shared" si="4"/>
        <v>0</v>
      </c>
      <c r="O27" s="332">
        <f t="shared" si="5"/>
        <v>15306.212953212002</v>
      </c>
      <c r="P27" s="332">
        <f t="shared" si="6"/>
        <v>3826.5532383030004</v>
      </c>
      <c r="Q27" s="686"/>
    </row>
    <row r="28" spans="1:17" s="329" customFormat="1" ht="28.5" x14ac:dyDescent="0.2">
      <c r="A28" s="195" t="str">
        <f>'Estimación por período'!A29</f>
        <v>6.4. Contribución a la mejora de condiciones de conectividad vial y de servicios públicos, en las regiones maiceras.</v>
      </c>
      <c r="B28" s="681">
        <f>'Estimación por período'!B29</f>
        <v>3742.3417875</v>
      </c>
      <c r="C28" s="333">
        <v>0.8</v>
      </c>
      <c r="D28" s="333">
        <v>0.2</v>
      </c>
      <c r="E28" s="333"/>
      <c r="F28" s="332">
        <f t="shared" si="16"/>
        <v>2993.8734300000001</v>
      </c>
      <c r="G28" s="332">
        <f t="shared" si="17"/>
        <v>748.46835750000002</v>
      </c>
      <c r="H28" s="332">
        <f t="shared" si="13"/>
        <v>0</v>
      </c>
      <c r="I28" s="334">
        <v>0.5</v>
      </c>
      <c r="J28" s="335"/>
      <c r="K28" s="334">
        <v>0.5</v>
      </c>
      <c r="L28" s="334"/>
      <c r="M28" s="332">
        <f t="shared" si="3"/>
        <v>1496.936715</v>
      </c>
      <c r="N28" s="332">
        <f t="shared" si="4"/>
        <v>0</v>
      </c>
      <c r="O28" s="332">
        <f t="shared" si="5"/>
        <v>1496.936715</v>
      </c>
      <c r="P28" s="332">
        <f t="shared" si="6"/>
        <v>0</v>
      </c>
      <c r="Q28" s="686"/>
    </row>
    <row r="29" spans="1:17" s="330" customFormat="1" ht="15" x14ac:dyDescent="0.25">
      <c r="A29" s="696" t="str">
        <f>'Estimación por período'!A30</f>
        <v>7. Contribución al ordenamiento productivo y social de la propiedad.</v>
      </c>
      <c r="B29" s="691">
        <f>'Estimación por período'!B30</f>
        <v>52239.074348499998</v>
      </c>
      <c r="C29" s="692">
        <f>F29/B29</f>
        <v>0.8</v>
      </c>
      <c r="D29" s="692">
        <f>G29/B29</f>
        <v>0.2</v>
      </c>
      <c r="E29" s="692"/>
      <c r="F29" s="694">
        <f>F30+F31</f>
        <v>41791.259478799999</v>
      </c>
      <c r="G29" s="694">
        <f t="shared" ref="G29:H29" si="23">G30+G31</f>
        <v>10447.8148697</v>
      </c>
      <c r="H29" s="694">
        <f t="shared" si="23"/>
        <v>0</v>
      </c>
      <c r="I29" s="694">
        <f>M29/C29</f>
        <v>31343.444609099995</v>
      </c>
      <c r="J29" s="698"/>
      <c r="K29" s="698">
        <f>O29/F29</f>
        <v>0.4</v>
      </c>
      <c r="L29" s="698"/>
      <c r="M29" s="695">
        <f>M30+M31</f>
        <v>25074.755687279998</v>
      </c>
      <c r="N29" s="695">
        <f t="shared" ref="N29:P29" si="24">N30+N31</f>
        <v>0</v>
      </c>
      <c r="O29" s="695">
        <f t="shared" si="24"/>
        <v>16716.503791520001</v>
      </c>
      <c r="P29" s="695">
        <f t="shared" si="24"/>
        <v>0</v>
      </c>
      <c r="Q29" s="686"/>
    </row>
    <row r="30" spans="1:17" s="329" customFormat="1" ht="28.5" x14ac:dyDescent="0.2">
      <c r="A30" s="195" t="str">
        <f>'Estimación por período'!A31</f>
        <v>7.1. Articulación con las políticas de ordenamiento productivo y social de la propiedad rural para el cultivo de maíz.</v>
      </c>
      <c r="B30" s="681">
        <f>'Estimación por período'!B31</f>
        <v>14243.132557499999</v>
      </c>
      <c r="C30" s="333">
        <v>0.8</v>
      </c>
      <c r="D30" s="333">
        <v>0.2</v>
      </c>
      <c r="E30" s="333"/>
      <c r="F30" s="332">
        <f t="shared" si="16"/>
        <v>11394.506046</v>
      </c>
      <c r="G30" s="332">
        <f t="shared" si="17"/>
        <v>2848.6265115000001</v>
      </c>
      <c r="H30" s="332">
        <f t="shared" si="13"/>
        <v>0</v>
      </c>
      <c r="I30" s="334">
        <v>0.6</v>
      </c>
      <c r="J30" s="335"/>
      <c r="K30" s="334">
        <v>0.4</v>
      </c>
      <c r="L30" s="334"/>
      <c r="M30" s="332">
        <f t="shared" si="3"/>
        <v>6836.7036275999999</v>
      </c>
      <c r="N30" s="332">
        <f t="shared" si="4"/>
        <v>0</v>
      </c>
      <c r="O30" s="332">
        <f t="shared" si="5"/>
        <v>4557.8024184000005</v>
      </c>
      <c r="P30" s="332">
        <f t="shared" si="6"/>
        <v>0</v>
      </c>
      <c r="Q30" s="686"/>
    </row>
    <row r="31" spans="1:17" s="329" customFormat="1" ht="28.5" x14ac:dyDescent="0.2">
      <c r="A31" s="195" t="str">
        <f>'Estimación por período'!A32</f>
        <v xml:space="preserve">7.2  Fortalecimiento en el acceso y la seguridad jurídica de los predios e inversiones para el cultivo de maíz. </v>
      </c>
      <c r="B31" s="681">
        <f>'Estimación por período'!B32</f>
        <v>37995.941790999997</v>
      </c>
      <c r="C31" s="333">
        <v>0.8</v>
      </c>
      <c r="D31" s="333">
        <v>0.2</v>
      </c>
      <c r="E31" s="333"/>
      <c r="F31" s="332">
        <f t="shared" si="16"/>
        <v>30396.7534328</v>
      </c>
      <c r="G31" s="332">
        <f t="shared" si="17"/>
        <v>7599.1883582</v>
      </c>
      <c r="H31" s="332">
        <f t="shared" si="13"/>
        <v>0</v>
      </c>
      <c r="I31" s="334">
        <v>0.6</v>
      </c>
      <c r="J31" s="335"/>
      <c r="K31" s="334">
        <v>0.4</v>
      </c>
      <c r="L31" s="334"/>
      <c r="M31" s="332">
        <f t="shared" si="3"/>
        <v>18238.052059679998</v>
      </c>
      <c r="N31" s="332">
        <f t="shared" si="4"/>
        <v>0</v>
      </c>
      <c r="O31" s="332">
        <f t="shared" si="5"/>
        <v>12158.70137312</v>
      </c>
      <c r="P31" s="332">
        <f t="shared" si="6"/>
        <v>0</v>
      </c>
      <c r="Q31" s="686"/>
    </row>
    <row r="32" spans="1:17" s="330" customFormat="1" ht="30" x14ac:dyDescent="0.25">
      <c r="A32" s="696" t="str">
        <f>'Estimación por período'!A33</f>
        <v>8. Fortalecimiento del desarrollo tecnológico y la innovación en la cadena de maíz.</v>
      </c>
      <c r="B32" s="691">
        <f>'Estimación por período'!B33</f>
        <v>27234.2557845095</v>
      </c>
      <c r="C32" s="692">
        <f>F32/B32</f>
        <v>0.64999999999999991</v>
      </c>
      <c r="D32" s="692">
        <f>G32/B32</f>
        <v>0.29999999999999993</v>
      </c>
      <c r="E32" s="692">
        <f>H32/B32</f>
        <v>0.05</v>
      </c>
      <c r="F32" s="694">
        <f>F33+F34</f>
        <v>17702.266259931173</v>
      </c>
      <c r="G32" s="694">
        <f t="shared" ref="G32:H32" si="25">G33+G34</f>
        <v>8170.2767353528488</v>
      </c>
      <c r="H32" s="694">
        <f t="shared" si="25"/>
        <v>1361.712789225475</v>
      </c>
      <c r="I32" s="697">
        <f>M32/F32</f>
        <v>0.39999999999999997</v>
      </c>
      <c r="J32" s="697">
        <f>N32/F32</f>
        <v>0.3</v>
      </c>
      <c r="K32" s="697">
        <f>O32/F32</f>
        <v>0.3</v>
      </c>
      <c r="L32" s="697"/>
      <c r="M32" s="695">
        <f>M33+M34</f>
        <v>7080.9065039724692</v>
      </c>
      <c r="N32" s="695">
        <f t="shared" ref="N32:P32" si="26">N33+N34</f>
        <v>5310.6798779793517</v>
      </c>
      <c r="O32" s="695">
        <f t="shared" si="26"/>
        <v>5310.6798779793517</v>
      </c>
      <c r="P32" s="695">
        <f t="shared" si="26"/>
        <v>0</v>
      </c>
      <c r="Q32" s="686"/>
    </row>
    <row r="33" spans="1:17" s="329" customFormat="1" x14ac:dyDescent="0.2">
      <c r="A33" s="195" t="str">
        <f>'Estimación por período'!A34</f>
        <v>8.1. Fortalecimiento de los procesos I+D+i para la cadena de maíz y sus derivados.</v>
      </c>
      <c r="B33" s="681">
        <f>'Estimación por período'!B34</f>
        <v>7040.3814005094991</v>
      </c>
      <c r="C33" s="333">
        <v>0.65</v>
      </c>
      <c r="D33" s="333">
        <v>0.3</v>
      </c>
      <c r="E33" s="333">
        <v>0.05</v>
      </c>
      <c r="F33" s="332">
        <f t="shared" si="16"/>
        <v>4576.2479103311744</v>
      </c>
      <c r="G33" s="332">
        <f t="shared" si="17"/>
        <v>2112.1144201528496</v>
      </c>
      <c r="H33" s="332">
        <f t="shared" si="13"/>
        <v>352.019070025475</v>
      </c>
      <c r="I33" s="334">
        <v>0.4</v>
      </c>
      <c r="J33" s="335">
        <v>0.3</v>
      </c>
      <c r="K33" s="334">
        <v>0.3</v>
      </c>
      <c r="L33" s="334"/>
      <c r="M33" s="332">
        <f t="shared" si="3"/>
        <v>1830.4991641324698</v>
      </c>
      <c r="N33" s="332">
        <f t="shared" si="4"/>
        <v>1372.8743730993522</v>
      </c>
      <c r="O33" s="332">
        <f t="shared" si="5"/>
        <v>1372.8743730993522</v>
      </c>
      <c r="P33" s="332">
        <f t="shared" si="6"/>
        <v>0</v>
      </c>
      <c r="Q33" s="686"/>
    </row>
    <row r="34" spans="1:17" s="329" customFormat="1" ht="28.5" x14ac:dyDescent="0.2">
      <c r="A34" s="195" t="str">
        <f>'Estimación por período'!A35</f>
        <v>8.2. Fortalecimiento del talento humano en I+D+i, y en extensionismo agrícola e industrial.</v>
      </c>
      <c r="B34" s="681">
        <f>'Estimación por período'!B35</f>
        <v>20193.874383999999</v>
      </c>
      <c r="C34" s="333">
        <v>0.65</v>
      </c>
      <c r="D34" s="333">
        <v>0.3</v>
      </c>
      <c r="E34" s="333">
        <v>0.05</v>
      </c>
      <c r="F34" s="332">
        <f t="shared" si="16"/>
        <v>13126.018349599999</v>
      </c>
      <c r="G34" s="332">
        <f t="shared" si="17"/>
        <v>6058.1623151999993</v>
      </c>
      <c r="H34" s="332">
        <f t="shared" si="13"/>
        <v>1009.6937192</v>
      </c>
      <c r="I34" s="334">
        <v>0.4</v>
      </c>
      <c r="J34" s="335">
        <v>0.3</v>
      </c>
      <c r="K34" s="334">
        <v>0.3</v>
      </c>
      <c r="L34" s="334"/>
      <c r="M34" s="332">
        <f t="shared" si="3"/>
        <v>5250.4073398399996</v>
      </c>
      <c r="N34" s="332">
        <f t="shared" si="4"/>
        <v>3937.8055048799997</v>
      </c>
      <c r="O34" s="332">
        <f t="shared" si="5"/>
        <v>3937.8055048799997</v>
      </c>
      <c r="P34" s="332">
        <f t="shared" si="6"/>
        <v>0</v>
      </c>
      <c r="Q34" s="686"/>
    </row>
    <row r="35" spans="1:17" s="330" customFormat="1" ht="15" x14ac:dyDescent="0.25">
      <c r="A35" s="696" t="str">
        <f>'Estimación por período'!A36</f>
        <v>9. Fortalecimiento de la gestión institucional de la cadena de maíz</v>
      </c>
      <c r="B35" s="691">
        <f>'Estimación por período'!B36</f>
        <v>11686.193987750001</v>
      </c>
      <c r="C35" s="692">
        <f>F35/B35</f>
        <v>0.84246677393064984</v>
      </c>
      <c r="D35" s="692">
        <f>G35/B35</f>
        <v>0.11209464756431047</v>
      </c>
      <c r="E35" s="692">
        <f>H35/B35</f>
        <v>4.5438578505039587E-2</v>
      </c>
      <c r="F35" s="694">
        <f>F36+F37+F38+F39+F40+F41</f>
        <v>9845.2301483874999</v>
      </c>
      <c r="G35" s="694">
        <f t="shared" ref="G35:H35" si="27">G36+G37+G38+G39+G40+G41</f>
        <v>1309.9597964250001</v>
      </c>
      <c r="H35" s="694">
        <f t="shared" si="27"/>
        <v>531.0040429375</v>
      </c>
      <c r="I35" s="697">
        <f>M35/F35</f>
        <v>0.79538738108804519</v>
      </c>
      <c r="J35" s="697">
        <f>N35/F35</f>
        <v>0</v>
      </c>
      <c r="K35" s="697">
        <f>O35/F35</f>
        <v>0.10461261891195482</v>
      </c>
      <c r="L35" s="697">
        <f>P35/F35</f>
        <v>0.10000000000000002</v>
      </c>
      <c r="M35" s="695">
        <f>M36+M37+M38+M39+M40+M41</f>
        <v>7830.7718239349997</v>
      </c>
      <c r="N35" s="695">
        <f t="shared" ref="N35:P35" si="28">N36+N37+N38+N39+N40+N41</f>
        <v>0</v>
      </c>
      <c r="O35" s="695">
        <f t="shared" si="28"/>
        <v>1029.93530961375</v>
      </c>
      <c r="P35" s="695">
        <f t="shared" si="28"/>
        <v>984.52301483875021</v>
      </c>
      <c r="Q35" s="686"/>
    </row>
    <row r="36" spans="1:17" s="329" customFormat="1" ht="28.5" x14ac:dyDescent="0.2">
      <c r="A36" s="195" t="str">
        <f>'Estimación por período'!A37</f>
        <v>9.1. Fortalecimiento del Sistema de Inspección, Vigilancia y Control para la cadena de maíz.</v>
      </c>
      <c r="B36" s="681">
        <f>'Estimación por período'!B37</f>
        <v>2057.7055274999998</v>
      </c>
      <c r="C36" s="333">
        <v>0.95</v>
      </c>
      <c r="D36" s="333"/>
      <c r="E36" s="333">
        <v>0.05</v>
      </c>
      <c r="F36" s="332">
        <f>B36*C36</f>
        <v>1954.8202511249997</v>
      </c>
      <c r="G36" s="332">
        <f t="shared" si="17"/>
        <v>0</v>
      </c>
      <c r="H36" s="332">
        <f t="shared" si="13"/>
        <v>102.88527637499999</v>
      </c>
      <c r="I36" s="334">
        <v>0.9</v>
      </c>
      <c r="J36" s="335"/>
      <c r="K36" s="334"/>
      <c r="L36" s="334">
        <v>0.1</v>
      </c>
      <c r="M36" s="332">
        <f t="shared" si="3"/>
        <v>1759.3382260124997</v>
      </c>
      <c r="N36" s="332">
        <f t="shared" si="4"/>
        <v>0</v>
      </c>
      <c r="O36" s="332">
        <f t="shared" si="5"/>
        <v>0</v>
      </c>
      <c r="P36" s="332">
        <f t="shared" si="6"/>
        <v>195.48202511249997</v>
      </c>
      <c r="Q36" s="686"/>
    </row>
    <row r="37" spans="1:17" s="329" customFormat="1" ht="28.5" x14ac:dyDescent="0.2">
      <c r="A37" s="195" t="str">
        <f>'Estimación por período'!A38</f>
        <v>9.2. Diseño y mejora de los instrumentos de financiamiento, comercialización, gestión de riesgos y empresarización para la cadena de maíz.</v>
      </c>
      <c r="B37" s="681">
        <f>'Estimación por período'!B38</f>
        <v>1566.1648700000001</v>
      </c>
      <c r="C37" s="333">
        <v>0.95</v>
      </c>
      <c r="D37" s="333"/>
      <c r="E37" s="333">
        <v>0.05</v>
      </c>
      <c r="F37" s="332">
        <f>B37*C37</f>
        <v>1487.8566264999999</v>
      </c>
      <c r="G37" s="332">
        <f t="shared" si="17"/>
        <v>0</v>
      </c>
      <c r="H37" s="332">
        <f>B37*E37</f>
        <v>78.308243500000003</v>
      </c>
      <c r="I37" s="334">
        <v>0.9</v>
      </c>
      <c r="J37" s="335"/>
      <c r="K37" s="334"/>
      <c r="L37" s="334">
        <v>0.1</v>
      </c>
      <c r="M37" s="332">
        <f t="shared" si="3"/>
        <v>1339.07096385</v>
      </c>
      <c r="N37" s="332">
        <f t="shared" si="4"/>
        <v>0</v>
      </c>
      <c r="O37" s="332">
        <f t="shared" si="5"/>
        <v>0</v>
      </c>
      <c r="P37" s="332">
        <f t="shared" si="6"/>
        <v>148.78566265000001</v>
      </c>
      <c r="Q37" s="686"/>
    </row>
    <row r="38" spans="1:17" s="329" customFormat="1" ht="28.5" x14ac:dyDescent="0.2">
      <c r="A38" s="195" t="str">
        <f>'Estimación por período'!A39</f>
        <v>9.3. Fortalecimiento de mecanismos institucionales para el impulso a las inversiones en producción de maíz a mediana y gran escala.</v>
      </c>
      <c r="B38" s="681">
        <f>'Estimación por período'!B39</f>
        <v>3917.8721744999998</v>
      </c>
      <c r="C38" s="333">
        <v>0.8</v>
      </c>
      <c r="D38" s="333">
        <v>0.15</v>
      </c>
      <c r="E38" s="333">
        <v>0.05</v>
      </c>
      <c r="F38" s="332">
        <f>B38*C38</f>
        <v>3134.2977396000001</v>
      </c>
      <c r="G38" s="332">
        <f t="shared" si="17"/>
        <v>587.68082617499999</v>
      </c>
      <c r="H38" s="332">
        <f t="shared" si="13"/>
        <v>195.89360872500001</v>
      </c>
      <c r="I38" s="334">
        <v>0.8</v>
      </c>
      <c r="J38" s="335"/>
      <c r="K38" s="334">
        <v>0.1</v>
      </c>
      <c r="L38" s="334">
        <v>0.1</v>
      </c>
      <c r="M38" s="332">
        <f t="shared" si="3"/>
        <v>2507.4381916800003</v>
      </c>
      <c r="N38" s="332">
        <f t="shared" si="4"/>
        <v>0</v>
      </c>
      <c r="O38" s="332">
        <f t="shared" si="5"/>
        <v>313.42977396000003</v>
      </c>
      <c r="P38" s="332">
        <f t="shared" si="6"/>
        <v>313.42977396000003</v>
      </c>
      <c r="Q38" s="686"/>
    </row>
    <row r="39" spans="1:17" s="329" customFormat="1" x14ac:dyDescent="0.2">
      <c r="A39" s="195" t="str">
        <f>'Estimación por período'!A40</f>
        <v>9.4. Diseño y operación del Sistema nacional de Información para la cadena de maíz.</v>
      </c>
      <c r="B39" s="681">
        <f>'Estimación por período'!B40</f>
        <v>2117.3948137500001</v>
      </c>
      <c r="C39" s="333">
        <v>0.75</v>
      </c>
      <c r="D39" s="333">
        <v>0.2</v>
      </c>
      <c r="E39" s="333">
        <v>0.05</v>
      </c>
      <c r="F39" s="332">
        <f t="shared" si="16"/>
        <v>1588.0461103125001</v>
      </c>
      <c r="G39" s="332">
        <f t="shared" si="17"/>
        <v>423.47896275000005</v>
      </c>
      <c r="H39" s="332">
        <f t="shared" si="13"/>
        <v>105.86974068750001</v>
      </c>
      <c r="I39" s="334">
        <v>0.6</v>
      </c>
      <c r="J39" s="335"/>
      <c r="K39" s="334">
        <v>0.3</v>
      </c>
      <c r="L39" s="334">
        <v>0.1</v>
      </c>
      <c r="M39" s="332">
        <f t="shared" si="3"/>
        <v>952.82766618749997</v>
      </c>
      <c r="N39" s="332">
        <f t="shared" si="4"/>
        <v>0</v>
      </c>
      <c r="O39" s="332">
        <f t="shared" si="5"/>
        <v>476.41383309374999</v>
      </c>
      <c r="P39" s="332">
        <f t="shared" si="6"/>
        <v>158.80461103125003</v>
      </c>
      <c r="Q39" s="686"/>
    </row>
    <row r="40" spans="1:17" s="329" customFormat="1" x14ac:dyDescent="0.2">
      <c r="A40" s="197" t="str">
        <f>'Estimación por período'!A41</f>
        <v>9.5. Constitución y fortalecimiento de la Organización de Cadena de maíz.</v>
      </c>
      <c r="B40" s="683">
        <f>'Estimación por período'!B41</f>
        <v>960.94347300000004</v>
      </c>
      <c r="C40" s="333">
        <v>0.75</v>
      </c>
      <c r="D40" s="333">
        <v>0.2</v>
      </c>
      <c r="E40" s="333">
        <v>0.05</v>
      </c>
      <c r="F40" s="332">
        <f t="shared" si="16"/>
        <v>720.70760474999997</v>
      </c>
      <c r="G40" s="332">
        <f t="shared" si="17"/>
        <v>192.18869460000002</v>
      </c>
      <c r="H40" s="332">
        <f t="shared" si="13"/>
        <v>48.047173650000005</v>
      </c>
      <c r="I40" s="334">
        <v>0.7</v>
      </c>
      <c r="J40" s="335"/>
      <c r="K40" s="334">
        <v>0.2</v>
      </c>
      <c r="L40" s="334">
        <v>0.1</v>
      </c>
      <c r="M40" s="332">
        <f t="shared" si="3"/>
        <v>504.49532332499996</v>
      </c>
      <c r="N40" s="332">
        <f t="shared" si="4"/>
        <v>0</v>
      </c>
      <c r="O40" s="332">
        <f t="shared" si="5"/>
        <v>144.14152095</v>
      </c>
      <c r="P40" s="332">
        <f t="shared" si="6"/>
        <v>72.070760475</v>
      </c>
      <c r="Q40" s="686"/>
    </row>
    <row r="41" spans="1:17" s="329" customFormat="1" x14ac:dyDescent="0.2">
      <c r="A41" s="197" t="str">
        <f>'Estimación por período'!A42</f>
        <v>9.6. Adopción, promoción y monitoreo de la política pública para la cadena de maíz.</v>
      </c>
      <c r="B41" s="683">
        <f>'Estimación por período'!B42</f>
        <v>1066.1131290000001</v>
      </c>
      <c r="C41" s="333">
        <v>0.9</v>
      </c>
      <c r="D41" s="333">
        <v>0.1</v>
      </c>
      <c r="E41" s="333"/>
      <c r="F41" s="332">
        <f t="shared" si="16"/>
        <v>959.50181610000004</v>
      </c>
      <c r="G41" s="332">
        <f t="shared" si="17"/>
        <v>106.61131290000002</v>
      </c>
      <c r="H41" s="332">
        <f t="shared" si="13"/>
        <v>0</v>
      </c>
      <c r="I41" s="334">
        <v>0.8</v>
      </c>
      <c r="J41" s="335"/>
      <c r="K41" s="334">
        <v>0.1</v>
      </c>
      <c r="L41" s="334">
        <v>0.1</v>
      </c>
      <c r="M41" s="332">
        <f t="shared" si="3"/>
        <v>767.60145288000012</v>
      </c>
      <c r="N41" s="332">
        <f t="shared" si="4"/>
        <v>0</v>
      </c>
      <c r="O41" s="332">
        <f t="shared" si="5"/>
        <v>95.950181610000016</v>
      </c>
      <c r="P41" s="332">
        <f t="shared" si="6"/>
        <v>95.950181610000016</v>
      </c>
      <c r="Q41" s="686"/>
    </row>
    <row r="42" spans="1:17" s="331" customFormat="1" ht="15.75" x14ac:dyDescent="0.25">
      <c r="A42" s="161" t="str">
        <f>'Estimación por período'!A43</f>
        <v>TOTAL</v>
      </c>
      <c r="B42" s="161">
        <f>'Estimación por período'!B43</f>
        <v>4027154.6509093838</v>
      </c>
      <c r="C42" s="348">
        <f>F42/B42</f>
        <v>0.94470107707632167</v>
      </c>
      <c r="D42" s="349">
        <f>G42/B42</f>
        <v>4.2067337600514121E-2</v>
      </c>
      <c r="E42" s="350">
        <f>H42/B42</f>
        <v>1.3231585323163968E-2</v>
      </c>
      <c r="F42" s="342">
        <f>F6+F9+F13+F19+F22+F24+F32+F35+F29</f>
        <v>3804457.3362670131</v>
      </c>
      <c r="G42" s="343">
        <f>G6+G9+G13+G19+G22+G24+G32+G35+G29</f>
        <v>169411.67426928564</v>
      </c>
      <c r="H42" s="344">
        <f>H6+H9+H13+H19+H22+H24+H32+H35+H29</f>
        <v>53285.640373084119</v>
      </c>
      <c r="I42" s="348">
        <f>M42/F42</f>
        <v>0.87371253106674662</v>
      </c>
      <c r="J42" s="348">
        <f>N42/F42</f>
        <v>1.1403529449623433E-2</v>
      </c>
      <c r="K42" s="348">
        <f>O42/F42</f>
        <v>0.10443042345426667</v>
      </c>
      <c r="L42" s="348">
        <f>P42/F42</f>
        <v>1.045351602936377E-2</v>
      </c>
      <c r="M42" s="345">
        <f>M6+M9+M13+M19+M22+M24+M32+M35+M29</f>
        <v>3324002.0486053047</v>
      </c>
      <c r="N42" s="345">
        <f>N6+N9+N13+N19+N22+N24+N32+N35+N29</f>
        <v>43384.241273956803</v>
      </c>
      <c r="O42" s="345">
        <f>O6+O9+O13+O19+O22+O24+O32+O35+O29</f>
        <v>397301.0906400556</v>
      </c>
      <c r="P42" s="345">
        <f>P6+P9+P13+P19+P22+P24+P32+P35+P29</f>
        <v>39769.955747697808</v>
      </c>
      <c r="Q42" s="686"/>
    </row>
    <row r="43" spans="1:17" s="160" customFormat="1" ht="15.75" x14ac:dyDescent="0.2">
      <c r="A43" s="696" t="s">
        <v>380</v>
      </c>
      <c r="B43" s="52"/>
      <c r="C43" s="52"/>
      <c r="D43" s="52"/>
      <c r="E43" s="52"/>
      <c r="F43" s="342">
        <f>F42/20</f>
        <v>190222.86681335064</v>
      </c>
      <c r="G43" s="343">
        <f>G42/20</f>
        <v>8470.5837134642825</v>
      </c>
      <c r="H43" s="344">
        <f>H42/20</f>
        <v>2664.2820186542058</v>
      </c>
      <c r="M43" s="345">
        <f>M42/20</f>
        <v>166200.10243026522</v>
      </c>
      <c r="N43" s="345">
        <f>N42/20</f>
        <v>2169.2120636978402</v>
      </c>
      <c r="O43" s="345">
        <f>O42/20</f>
        <v>19865.054532002781</v>
      </c>
      <c r="P43" s="345">
        <f>P42/20</f>
        <v>1988.4977873848904</v>
      </c>
      <c r="Q43" s="686">
        <f t="shared" ref="Q43" si="29">C43+D43+E43</f>
        <v>0</v>
      </c>
    </row>
  </sheetData>
  <sheetProtection algorithmName="SHA-512" hashValue="2Iphmh2THDCm0fwh9rBUzms7R6OM/Na5tSz0GwRFciSYao1q3ZhLk9QazousFahD3Ao1swWYA1nDKUOQR4V3TA==" saltValue="0dcRabXIgI6bhqEm+hEneQ==" spinCount="100000" sheet="1" objects="1" scenarios="1"/>
  <mergeCells count="2">
    <mergeCell ref="A1:P1"/>
    <mergeCell ref="A2:P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2"/>
  <sheetViews>
    <sheetView showGridLines="0" zoomScale="70" zoomScaleNormal="70" workbookViewId="0">
      <selection activeCell="E68" sqref="E68:E69"/>
    </sheetView>
  </sheetViews>
  <sheetFormatPr baseColWidth="10" defaultColWidth="10.7109375" defaultRowHeight="14.25" x14ac:dyDescent="0.2"/>
  <cols>
    <col min="1" max="1" width="13.42578125" style="37" customWidth="1"/>
    <col min="2" max="2" width="67.42578125" style="37" customWidth="1"/>
    <col min="3" max="3" width="26.5703125" style="37" customWidth="1"/>
    <col min="4" max="4" width="27.140625" style="37" customWidth="1"/>
    <col min="5" max="5" width="22.42578125" style="37" customWidth="1"/>
    <col min="6" max="7" width="19.7109375" style="37" bestFit="1" customWidth="1"/>
    <col min="8" max="8" width="21.5703125" style="37" customWidth="1"/>
    <col min="9" max="9" width="19.7109375" style="37" customWidth="1"/>
    <col min="10" max="11" width="19.7109375" style="37" bestFit="1" customWidth="1"/>
    <col min="12" max="12" width="19.140625" style="37" bestFit="1" customWidth="1"/>
    <col min="13" max="22" width="19.7109375" style="37" bestFit="1" customWidth="1"/>
    <col min="23" max="23" width="20.42578125" style="37" bestFit="1" customWidth="1"/>
    <col min="24" max="24" width="25.42578125" style="37" customWidth="1"/>
    <col min="25" max="25" width="22.28515625" style="37" bestFit="1" customWidth="1"/>
    <col min="26" max="26" width="19.140625" style="37" bestFit="1" customWidth="1"/>
    <col min="27" max="27" width="17" style="37" bestFit="1" customWidth="1"/>
    <col min="28" max="28" width="17.85546875" style="37" customWidth="1"/>
    <col min="29" max="16384" width="10.7109375" style="37"/>
  </cols>
  <sheetData>
    <row r="2" spans="1:26" ht="15" x14ac:dyDescent="0.25">
      <c r="A2" s="57" t="s">
        <v>87</v>
      </c>
    </row>
    <row r="3" spans="1:26" s="38" customFormat="1" ht="15" x14ac:dyDescent="0.25">
      <c r="A3" s="49"/>
    </row>
    <row r="4" spans="1:26" ht="21.6" customHeight="1" x14ac:dyDescent="0.25">
      <c r="A4" s="58"/>
      <c r="B4" s="59" t="str">
        <f>Portafolio_Cadena_Maíz!C2</f>
        <v>1. Incremento del consumo de maíz nacional.</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37"/>
      <c r="B7" s="63" t="s">
        <v>28</v>
      </c>
      <c r="C7" s="64" t="s">
        <v>66</v>
      </c>
      <c r="D7" s="64" t="s">
        <v>160</v>
      </c>
      <c r="E7" s="65">
        <f t="shared" ref="E7" si="0">SUM(E8:E9)</f>
        <v>1180628211.9875</v>
      </c>
      <c r="F7" s="65">
        <f>SUM(F8:F9)</f>
        <v>4722512847.9499998</v>
      </c>
      <c r="G7" s="65">
        <f t="shared" ref="G7:X7" si="1">SUM(G8:G9)</f>
        <v>9398987708.1499977</v>
      </c>
      <c r="H7" s="65">
        <f t="shared" si="1"/>
        <v>10079202233.27</v>
      </c>
      <c r="I7" s="65">
        <f t="shared" si="1"/>
        <v>10815747023.751499</v>
      </c>
      <c r="J7" s="65">
        <f t="shared" si="1"/>
        <v>11612554569.817848</v>
      </c>
      <c r="K7" s="65">
        <f t="shared" si="1"/>
        <v>12680511036.707367</v>
      </c>
      <c r="L7" s="65">
        <f t="shared" si="1"/>
        <v>4722512847.9499998</v>
      </c>
      <c r="M7" s="65">
        <f t="shared" si="1"/>
        <v>4722512847.9499998</v>
      </c>
      <c r="N7" s="65">
        <f t="shared" si="1"/>
        <v>4722512847.9499998</v>
      </c>
      <c r="O7" s="65">
        <f t="shared" si="1"/>
        <v>4722512847.9499998</v>
      </c>
      <c r="P7" s="65">
        <f t="shared" si="1"/>
        <v>4722512847.9499998</v>
      </c>
      <c r="Q7" s="65">
        <f t="shared" si="1"/>
        <v>4722512847.9499998</v>
      </c>
      <c r="R7" s="65">
        <f t="shared" si="1"/>
        <v>4722512847.9499998</v>
      </c>
      <c r="S7" s="65">
        <f t="shared" si="1"/>
        <v>4722512847.9499998</v>
      </c>
      <c r="T7" s="65">
        <f t="shared" si="1"/>
        <v>4722512847.9499998</v>
      </c>
      <c r="U7" s="65">
        <f t="shared" si="1"/>
        <v>4722512847.9499998</v>
      </c>
      <c r="V7" s="65">
        <f t="shared" si="1"/>
        <v>4722512847.9499998</v>
      </c>
      <c r="W7" s="65">
        <f t="shared" si="1"/>
        <v>4722512847.9499998</v>
      </c>
      <c r="X7" s="65">
        <f t="shared" si="1"/>
        <v>4722512847.9499998</v>
      </c>
      <c r="Y7" s="65">
        <f>SUM(E7:X7)</f>
        <v>121882810654.98418</v>
      </c>
    </row>
    <row r="8" spans="1:26" s="70" customFormat="1" ht="60" customHeight="1" x14ac:dyDescent="0.2">
      <c r="A8" s="67"/>
      <c r="B8" s="68" t="str">
        <f>Portafolio_Cadena_Maíz!D2</f>
        <v>1.1. Aumento de la participación del maíz nacional en el mercado de consumo animal.</v>
      </c>
      <c r="C8" s="113" t="s">
        <v>375</v>
      </c>
      <c r="D8" s="113" t="s">
        <v>161</v>
      </c>
      <c r="E8" s="69">
        <f>I46*3</f>
        <v>516491238.75</v>
      </c>
      <c r="F8" s="69">
        <f>H46</f>
        <v>2065964955</v>
      </c>
      <c r="G8" s="69">
        <f>F8+J48</f>
        <v>6742439815.1999989</v>
      </c>
      <c r="H8" s="69">
        <f>F8+K48</f>
        <v>7422654340.3199997</v>
      </c>
      <c r="I8" s="69">
        <f>H46+L48</f>
        <v>8159199130.8014994</v>
      </c>
      <c r="J8" s="69">
        <f>H46+M48</f>
        <v>8956006676.8678493</v>
      </c>
      <c r="K8" s="69">
        <f>H46+N48</f>
        <v>10023963143.757366</v>
      </c>
      <c r="L8" s="69">
        <f>F8</f>
        <v>2065964955</v>
      </c>
      <c r="M8" s="69">
        <f t="shared" ref="M8:W8" si="2">L8</f>
        <v>2065964955</v>
      </c>
      <c r="N8" s="69">
        <f t="shared" si="2"/>
        <v>2065964955</v>
      </c>
      <c r="O8" s="69">
        <f t="shared" si="2"/>
        <v>2065964955</v>
      </c>
      <c r="P8" s="69">
        <f t="shared" si="2"/>
        <v>2065964955</v>
      </c>
      <c r="Q8" s="69">
        <f t="shared" si="2"/>
        <v>2065964955</v>
      </c>
      <c r="R8" s="69">
        <f t="shared" si="2"/>
        <v>2065964955</v>
      </c>
      <c r="S8" s="69">
        <f t="shared" si="2"/>
        <v>2065964955</v>
      </c>
      <c r="T8" s="69">
        <f t="shared" si="2"/>
        <v>2065964955</v>
      </c>
      <c r="U8" s="69">
        <f t="shared" si="2"/>
        <v>2065964955</v>
      </c>
      <c r="V8" s="69">
        <f t="shared" si="2"/>
        <v>2065964955</v>
      </c>
      <c r="W8" s="69">
        <f t="shared" si="2"/>
        <v>2065964955</v>
      </c>
      <c r="X8" s="69">
        <f>W8</f>
        <v>2065964955</v>
      </c>
      <c r="Y8" s="69">
        <f>SUM(E8:X8)</f>
        <v>70744263715.696716</v>
      </c>
    </row>
    <row r="9" spans="1:26" s="70" customFormat="1" ht="42.95" customHeight="1" x14ac:dyDescent="0.2">
      <c r="A9" s="67"/>
      <c r="B9" s="68" t="str">
        <f>Portafolio_Cadena_Maíz!D8</f>
        <v>1.2. Posicionamiento de la oferta del maíz nacional y sus derivados, para alimentación humana y otros usos.</v>
      </c>
      <c r="C9" s="113" t="s">
        <v>215</v>
      </c>
      <c r="D9" s="113" t="s">
        <v>161</v>
      </c>
      <c r="E9" s="69">
        <f>I89*3</f>
        <v>664136973.23749995</v>
      </c>
      <c r="F9" s="69">
        <f>H89</f>
        <v>2656547892.9499998</v>
      </c>
      <c r="G9" s="69">
        <f>H89</f>
        <v>2656547892.9499998</v>
      </c>
      <c r="H9" s="69">
        <f t="shared" ref="H9:X9" si="3">G9</f>
        <v>2656547892.9499998</v>
      </c>
      <c r="I9" s="69">
        <f t="shared" si="3"/>
        <v>2656547892.9499998</v>
      </c>
      <c r="J9" s="69">
        <f t="shared" si="3"/>
        <v>2656547892.9499998</v>
      </c>
      <c r="K9" s="69">
        <f t="shared" si="3"/>
        <v>2656547892.9499998</v>
      </c>
      <c r="L9" s="69">
        <f t="shared" si="3"/>
        <v>2656547892.9499998</v>
      </c>
      <c r="M9" s="69">
        <f t="shared" si="3"/>
        <v>2656547892.9499998</v>
      </c>
      <c r="N9" s="69">
        <f t="shared" si="3"/>
        <v>2656547892.9499998</v>
      </c>
      <c r="O9" s="69">
        <f t="shared" si="3"/>
        <v>2656547892.9499998</v>
      </c>
      <c r="P9" s="69">
        <f t="shared" si="3"/>
        <v>2656547892.9499998</v>
      </c>
      <c r="Q9" s="69">
        <f t="shared" si="3"/>
        <v>2656547892.9499998</v>
      </c>
      <c r="R9" s="69">
        <f t="shared" si="3"/>
        <v>2656547892.9499998</v>
      </c>
      <c r="S9" s="69">
        <f t="shared" si="3"/>
        <v>2656547892.9499998</v>
      </c>
      <c r="T9" s="69">
        <f t="shared" si="3"/>
        <v>2656547892.9499998</v>
      </c>
      <c r="U9" s="69">
        <f t="shared" si="3"/>
        <v>2656547892.9499998</v>
      </c>
      <c r="V9" s="69">
        <f t="shared" si="3"/>
        <v>2656547892.9499998</v>
      </c>
      <c r="W9" s="69">
        <f t="shared" si="3"/>
        <v>2656547892.9499998</v>
      </c>
      <c r="X9" s="69">
        <f t="shared" si="3"/>
        <v>2656547892.9499998</v>
      </c>
      <c r="Y9" s="69">
        <f>SUM(E9:X9)</f>
        <v>51138546939.287483</v>
      </c>
    </row>
    <row r="10" spans="1:26" s="40" customFormat="1" ht="24.6" customHeight="1" x14ac:dyDescent="0.25">
      <c r="A10" s="37"/>
      <c r="B10" s="63" t="s">
        <v>32</v>
      </c>
      <c r="C10" s="63"/>
      <c r="D10" s="63"/>
      <c r="E10" s="71">
        <f>E8+E9</f>
        <v>1180628211.9875</v>
      </c>
      <c r="F10" s="71">
        <f t="shared" ref="F10:X10" si="4">F8+F9</f>
        <v>4722512847.9499998</v>
      </c>
      <c r="G10" s="71">
        <f t="shared" si="4"/>
        <v>9398987708.1499977</v>
      </c>
      <c r="H10" s="71">
        <f t="shared" si="4"/>
        <v>10079202233.27</v>
      </c>
      <c r="I10" s="71">
        <f t="shared" si="4"/>
        <v>10815747023.751499</v>
      </c>
      <c r="J10" s="71">
        <f t="shared" si="4"/>
        <v>11612554569.817848</v>
      </c>
      <c r="K10" s="71">
        <f t="shared" si="4"/>
        <v>12680511036.707367</v>
      </c>
      <c r="L10" s="71">
        <f t="shared" si="4"/>
        <v>4722512847.9499998</v>
      </c>
      <c r="M10" s="71">
        <f t="shared" si="4"/>
        <v>4722512847.9499998</v>
      </c>
      <c r="N10" s="71">
        <f t="shared" si="4"/>
        <v>4722512847.9499998</v>
      </c>
      <c r="O10" s="71">
        <f t="shared" si="4"/>
        <v>4722512847.9499998</v>
      </c>
      <c r="P10" s="71">
        <f t="shared" si="4"/>
        <v>4722512847.9499998</v>
      </c>
      <c r="Q10" s="71">
        <f t="shared" si="4"/>
        <v>4722512847.9499998</v>
      </c>
      <c r="R10" s="71">
        <f t="shared" si="4"/>
        <v>4722512847.9499998</v>
      </c>
      <c r="S10" s="71">
        <f t="shared" si="4"/>
        <v>4722512847.9499998</v>
      </c>
      <c r="T10" s="71">
        <f t="shared" si="4"/>
        <v>4722512847.9499998</v>
      </c>
      <c r="U10" s="71">
        <f t="shared" si="4"/>
        <v>4722512847.9499998</v>
      </c>
      <c r="V10" s="71">
        <f t="shared" si="4"/>
        <v>4722512847.9499998</v>
      </c>
      <c r="W10" s="71">
        <f t="shared" si="4"/>
        <v>4722512847.9499998</v>
      </c>
      <c r="X10" s="71">
        <f t="shared" si="4"/>
        <v>4722512847.9499998</v>
      </c>
      <c r="Y10" s="71">
        <f>Y8+Y9</f>
        <v>121882810654.98419</v>
      </c>
    </row>
    <row r="11" spans="1:26" s="75" customFormat="1" ht="24.6" customHeight="1" x14ac:dyDescent="0.25">
      <c r="A11" s="38"/>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38" customFormat="1" ht="14.45" customHeight="1" x14ac:dyDescent="0.25">
      <c r="B13" s="850" t="str">
        <f>B8</f>
        <v>1.1. Aumento de la participación del maíz nacional en el mercado de consumo animal.</v>
      </c>
      <c r="C13" s="851"/>
      <c r="D13" s="851"/>
      <c r="E13" s="851"/>
      <c r="F13" s="851"/>
      <c r="G13" s="851"/>
      <c r="H13" s="851"/>
      <c r="I13" s="76"/>
      <c r="X13" s="77"/>
    </row>
    <row r="14" spans="1:26" s="38" customFormat="1" ht="14.45" customHeight="1" x14ac:dyDescent="0.25">
      <c r="B14" s="852"/>
      <c r="C14" s="852"/>
      <c r="D14" s="852"/>
      <c r="E14" s="852"/>
      <c r="F14" s="852"/>
      <c r="G14" s="852"/>
      <c r="H14" s="852"/>
      <c r="I14" s="76"/>
      <c r="X14" s="77"/>
    </row>
    <row r="15" spans="1:26" s="102" customFormat="1" ht="38.1" customHeight="1" x14ac:dyDescent="0.25">
      <c r="B15" s="854" t="str">
        <f>Portafolio_Cadena_Maíz!H2</f>
        <v>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v>
      </c>
      <c r="C15" s="855"/>
      <c r="D15" s="855"/>
      <c r="E15" s="855"/>
      <c r="F15" s="855"/>
      <c r="G15" s="855"/>
      <c r="H15" s="855"/>
      <c r="I15" s="377"/>
      <c r="X15" s="77"/>
    </row>
    <row r="16" spans="1:26" s="102" customFormat="1" ht="35.450000000000003" customHeight="1" x14ac:dyDescent="0.25">
      <c r="B16" s="854" t="str">
        <f>Portafolio_Cadena_Maíz!H3</f>
        <v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v>
      </c>
      <c r="C16" s="855"/>
      <c r="D16" s="855"/>
      <c r="E16" s="855"/>
      <c r="F16" s="855"/>
      <c r="G16" s="855"/>
      <c r="H16" s="855"/>
      <c r="I16" s="377"/>
      <c r="X16" s="77"/>
    </row>
    <row r="17" spans="2:24" s="102" customFormat="1" ht="29.1" customHeight="1" x14ac:dyDescent="0.25">
      <c r="B17" s="854" t="str">
        <f>Portafolio_Cadena_Maíz!H4</f>
        <v>1.1.3. Realizar acompañamiento comercial y financiero a productores, asociaciones y empresas que redunden en el cumplimiento de los requerimientos del mercado, enfocándose en estrategias de negociación y cumplimiento de las normas de calidad, en concordancia con la actividad 9.2.4.</v>
      </c>
      <c r="C17" s="855"/>
      <c r="D17" s="855"/>
      <c r="E17" s="855"/>
      <c r="F17" s="855"/>
      <c r="G17" s="855"/>
      <c r="H17" s="855"/>
      <c r="I17" s="377"/>
      <c r="X17" s="77"/>
    </row>
    <row r="18" spans="2:24" s="102" customFormat="1" ht="14.45" customHeight="1" x14ac:dyDescent="0.25">
      <c r="B18" s="854" t="str">
        <f>Portafolio_Cadena_Maíz!H5</f>
        <v>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v>
      </c>
      <c r="C18" s="855"/>
      <c r="D18" s="855"/>
      <c r="E18" s="855"/>
      <c r="F18" s="855"/>
      <c r="G18" s="855"/>
      <c r="H18" s="855"/>
      <c r="I18" s="377"/>
      <c r="X18" s="77"/>
    </row>
    <row r="19" spans="2:24" s="102" customFormat="1" ht="14.45" customHeight="1" x14ac:dyDescent="0.25">
      <c r="B19" s="855"/>
      <c r="C19" s="855"/>
      <c r="D19" s="855"/>
      <c r="E19" s="855"/>
      <c r="F19" s="855"/>
      <c r="G19" s="855"/>
      <c r="H19" s="855"/>
      <c r="I19" s="393"/>
      <c r="X19" s="77"/>
    </row>
    <row r="20" spans="2:24" s="102" customFormat="1" ht="14.45" customHeight="1" x14ac:dyDescent="0.25">
      <c r="B20" s="855"/>
      <c r="C20" s="855"/>
      <c r="D20" s="855"/>
      <c r="E20" s="855"/>
      <c r="F20" s="855"/>
      <c r="G20" s="855"/>
      <c r="H20" s="855"/>
      <c r="I20" s="393"/>
      <c r="X20" s="77"/>
    </row>
    <row r="21" spans="2:24" s="102" customFormat="1" ht="29.1" customHeight="1" x14ac:dyDescent="0.25">
      <c r="B21" s="854" t="str">
        <f>Portafolio_Cadena_Maíz!H6</f>
        <v>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v>
      </c>
      <c r="C21" s="855"/>
      <c r="D21" s="855"/>
      <c r="E21" s="855"/>
      <c r="F21" s="855"/>
      <c r="G21" s="855"/>
      <c r="H21" s="855"/>
      <c r="I21" s="377"/>
      <c r="X21" s="77"/>
    </row>
    <row r="22" spans="2:24" s="102" customFormat="1" ht="27.6" customHeight="1" x14ac:dyDescent="0.25">
      <c r="B22" s="854" t="str">
        <f>Portafolio_Cadena_Maíz!H7</f>
        <v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v>
      </c>
      <c r="C22" s="855"/>
      <c r="D22" s="855"/>
      <c r="E22" s="855"/>
      <c r="F22" s="855"/>
      <c r="G22" s="855"/>
      <c r="H22" s="855"/>
      <c r="I22" s="377"/>
      <c r="X22" s="77"/>
    </row>
    <row r="23" spans="2:24" s="102" customFormat="1" ht="14.45" customHeight="1" x14ac:dyDescent="0.25">
      <c r="B23" s="397"/>
      <c r="C23" s="397"/>
      <c r="D23" s="397"/>
      <c r="E23" s="397"/>
      <c r="F23" s="397"/>
      <c r="G23" s="397"/>
      <c r="H23" s="397"/>
      <c r="I23" s="393"/>
      <c r="X23" s="77"/>
    </row>
    <row r="24" spans="2:24" s="102" customFormat="1" ht="14.45" customHeight="1" x14ac:dyDescent="0.25">
      <c r="B24" s="856" t="s">
        <v>594</v>
      </c>
      <c r="C24" s="856"/>
      <c r="D24" s="856"/>
      <c r="E24" s="856"/>
      <c r="F24" s="856"/>
      <c r="G24" s="856"/>
      <c r="H24" s="856"/>
      <c r="I24" s="377"/>
      <c r="X24" s="77"/>
    </row>
    <row r="25" spans="2:24" ht="15" x14ac:dyDescent="0.25">
      <c r="B25" s="78" t="s">
        <v>68</v>
      </c>
      <c r="C25" s="78" t="s">
        <v>58</v>
      </c>
      <c r="D25" s="78" t="s">
        <v>55</v>
      </c>
      <c r="E25" s="78" t="s">
        <v>54</v>
      </c>
      <c r="F25" s="79" t="s">
        <v>96</v>
      </c>
      <c r="G25" s="78" t="s">
        <v>70</v>
      </c>
      <c r="H25" s="78" t="s">
        <v>71</v>
      </c>
      <c r="I25" s="101"/>
      <c r="X25" s="80"/>
    </row>
    <row r="26" spans="2:24" x14ac:dyDescent="0.2">
      <c r="B26" s="39" t="s">
        <v>72</v>
      </c>
      <c r="C26" s="39">
        <v>6</v>
      </c>
      <c r="D26" s="39" t="s">
        <v>73</v>
      </c>
      <c r="E26" s="45">
        <v>500000</v>
      </c>
      <c r="F26" s="39"/>
      <c r="G26" s="39"/>
      <c r="H26" s="81">
        <f>C26*E26</f>
        <v>3000000</v>
      </c>
      <c r="I26" s="52"/>
    </row>
    <row r="27" spans="2:24" x14ac:dyDescent="0.2">
      <c r="B27" s="39" t="s">
        <v>74</v>
      </c>
      <c r="C27" s="39">
        <v>6</v>
      </c>
      <c r="D27" s="39" t="s">
        <v>73</v>
      </c>
      <c r="E27" s="45">
        <v>100000</v>
      </c>
      <c r="F27" s="39"/>
      <c r="G27" s="39"/>
      <c r="H27" s="81">
        <f t="shared" ref="H27:H35" si="5">C27*E27</f>
        <v>600000</v>
      </c>
      <c r="I27" s="52"/>
    </row>
    <row r="28" spans="2:24" x14ac:dyDescent="0.2">
      <c r="B28" s="39" t="s">
        <v>97</v>
      </c>
      <c r="C28" s="39">
        <v>1</v>
      </c>
      <c r="D28" s="39" t="s">
        <v>144</v>
      </c>
      <c r="E28" s="45">
        <v>11154675.000000002</v>
      </c>
      <c r="F28" s="39"/>
      <c r="G28" s="39"/>
      <c r="H28" s="81">
        <f>C28*E28</f>
        <v>11154675.000000002</v>
      </c>
      <c r="I28" s="351"/>
      <c r="J28" s="38"/>
    </row>
    <row r="29" spans="2:24" x14ac:dyDescent="0.2">
      <c r="B29" s="39" t="s">
        <v>90</v>
      </c>
      <c r="C29" s="39">
        <v>20</v>
      </c>
      <c r="D29" s="39" t="s">
        <v>73</v>
      </c>
      <c r="E29" s="45">
        <v>2300000</v>
      </c>
      <c r="F29" s="39"/>
      <c r="G29" s="39"/>
      <c r="H29" s="81">
        <f t="shared" si="5"/>
        <v>46000000</v>
      </c>
      <c r="I29" s="52"/>
    </row>
    <row r="30" spans="2:24" x14ac:dyDescent="0.2">
      <c r="B30" s="39" t="s">
        <v>91</v>
      </c>
      <c r="C30" s="39">
        <v>20</v>
      </c>
      <c r="D30" s="39" t="s">
        <v>73</v>
      </c>
      <c r="E30" s="45">
        <v>460000</v>
      </c>
      <c r="F30" s="39"/>
      <c r="G30" s="39"/>
      <c r="H30" s="81">
        <f t="shared" si="5"/>
        <v>9200000</v>
      </c>
      <c r="I30" s="52"/>
    </row>
    <row r="31" spans="2:24" x14ac:dyDescent="0.2">
      <c r="B31" s="39" t="s">
        <v>92</v>
      </c>
      <c r="C31" s="39">
        <f>4*3</f>
        <v>12</v>
      </c>
      <c r="D31" s="39" t="s">
        <v>73</v>
      </c>
      <c r="E31" s="82">
        <v>3270000</v>
      </c>
      <c r="F31" s="39"/>
      <c r="G31" s="39"/>
      <c r="H31" s="81">
        <f t="shared" si="5"/>
        <v>39240000</v>
      </c>
      <c r="I31" s="52"/>
    </row>
    <row r="32" spans="2:24" x14ac:dyDescent="0.2">
      <c r="B32" s="39" t="s">
        <v>230</v>
      </c>
      <c r="C32" s="39">
        <v>10</v>
      </c>
      <c r="D32" s="39" t="s">
        <v>94</v>
      </c>
      <c r="E32" s="45">
        <v>20000000</v>
      </c>
      <c r="F32" s="39"/>
      <c r="G32" s="39"/>
      <c r="H32" s="81">
        <f>C32*E32</f>
        <v>200000000</v>
      </c>
      <c r="I32" s="137"/>
      <c r="J32" s="38"/>
    </row>
    <row r="33" spans="2:15" x14ac:dyDescent="0.2">
      <c r="B33" s="39" t="s">
        <v>258</v>
      </c>
      <c r="C33" s="39">
        <v>10</v>
      </c>
      <c r="D33" s="39" t="s">
        <v>99</v>
      </c>
      <c r="E33" s="45">
        <v>52200000</v>
      </c>
      <c r="F33" s="39"/>
      <c r="G33" s="39"/>
      <c r="H33" s="81">
        <f>C33*E33</f>
        <v>522000000</v>
      </c>
      <c r="I33" s="137"/>
      <c r="J33" s="38"/>
    </row>
    <row r="34" spans="2:15" x14ac:dyDescent="0.2">
      <c r="B34" s="104" t="s">
        <v>76</v>
      </c>
      <c r="C34" s="104">
        <v>10</v>
      </c>
      <c r="D34" s="104" t="s">
        <v>65</v>
      </c>
      <c r="E34" s="94">
        <v>6000000</v>
      </c>
      <c r="F34" s="104"/>
      <c r="G34" s="104"/>
      <c r="H34" s="81">
        <f t="shared" si="5"/>
        <v>60000000</v>
      </c>
      <c r="I34" s="52"/>
    </row>
    <row r="35" spans="2:15" x14ac:dyDescent="0.2">
      <c r="B35" s="104" t="s">
        <v>77</v>
      </c>
      <c r="C35" s="104">
        <v>10</v>
      </c>
      <c r="D35" s="104" t="s">
        <v>65</v>
      </c>
      <c r="E35" s="94">
        <v>1800000</v>
      </c>
      <c r="F35" s="104"/>
      <c r="G35" s="104"/>
      <c r="H35" s="81">
        <f t="shared" si="5"/>
        <v>18000000</v>
      </c>
      <c r="I35" s="52"/>
    </row>
    <row r="36" spans="2:15" x14ac:dyDescent="0.2">
      <c r="B36" s="104" t="s">
        <v>103</v>
      </c>
      <c r="C36" s="104">
        <v>4</v>
      </c>
      <c r="D36" s="104" t="s">
        <v>73</v>
      </c>
      <c r="E36" s="94">
        <v>142800000</v>
      </c>
      <c r="F36" s="104"/>
      <c r="G36" s="104"/>
      <c r="H36" s="81">
        <f>C36*E36</f>
        <v>571200000</v>
      </c>
      <c r="I36" s="52"/>
    </row>
    <row r="37" spans="2:15" x14ac:dyDescent="0.2">
      <c r="B37" s="104" t="s">
        <v>388</v>
      </c>
      <c r="C37" s="104">
        <f>100*10</f>
        <v>1000</v>
      </c>
      <c r="D37" s="104" t="s">
        <v>95</v>
      </c>
      <c r="E37" s="94">
        <v>182000</v>
      </c>
      <c r="F37" s="200">
        <v>0.5</v>
      </c>
      <c r="G37" s="104"/>
      <c r="H37" s="81">
        <f>C37*E37*F37</f>
        <v>91000000</v>
      </c>
      <c r="I37" s="52"/>
    </row>
    <row r="38" spans="2:15" s="101" customFormat="1" x14ac:dyDescent="0.2">
      <c r="B38" s="104" t="s">
        <v>78</v>
      </c>
      <c r="C38" s="104">
        <f>4*10</f>
        <v>40</v>
      </c>
      <c r="D38" s="104" t="s">
        <v>143</v>
      </c>
      <c r="E38" s="94">
        <v>450000</v>
      </c>
      <c r="F38" s="200"/>
      <c r="G38" s="104"/>
      <c r="H38" s="81">
        <f>C38*E38</f>
        <v>18000000</v>
      </c>
      <c r="I38" s="52"/>
    </row>
    <row r="39" spans="2:15" x14ac:dyDescent="0.2">
      <c r="B39" s="104" t="s">
        <v>93</v>
      </c>
      <c r="C39" s="104">
        <v>8</v>
      </c>
      <c r="D39" s="104" t="s">
        <v>100</v>
      </c>
      <c r="E39" s="81">
        <v>18000000</v>
      </c>
      <c r="F39" s="104"/>
      <c r="G39" s="104"/>
      <c r="H39" s="81">
        <f t="shared" ref="H39" si="6">C39*E39</f>
        <v>144000000</v>
      </c>
      <c r="I39" s="137"/>
      <c r="J39" s="38"/>
    </row>
    <row r="40" spans="2:15" x14ac:dyDescent="0.2">
      <c r="B40" s="104" t="s">
        <v>79</v>
      </c>
      <c r="C40" s="104">
        <v>5</v>
      </c>
      <c r="D40" s="104" t="s">
        <v>145</v>
      </c>
      <c r="E40" s="81">
        <v>7862772</v>
      </c>
      <c r="F40" s="200">
        <v>0.5</v>
      </c>
      <c r="G40" s="104">
        <v>12</v>
      </c>
      <c r="H40" s="81">
        <f>C40*E40*G40*F40</f>
        <v>235883160</v>
      </c>
      <c r="I40" s="52"/>
    </row>
    <row r="41" spans="2:15" x14ac:dyDescent="0.2">
      <c r="B41" s="104" t="s">
        <v>80</v>
      </c>
      <c r="C41" s="104">
        <v>8</v>
      </c>
      <c r="D41" s="104" t="s">
        <v>157</v>
      </c>
      <c r="E41" s="81">
        <v>1313122</v>
      </c>
      <c r="F41" s="104"/>
      <c r="G41" s="104"/>
      <c r="H41" s="81">
        <f>C41*E41</f>
        <v>10504976</v>
      </c>
      <c r="I41" s="52"/>
    </row>
    <row r="42" spans="2:15" s="101" customFormat="1" x14ac:dyDescent="0.2">
      <c r="B42" s="104" t="s">
        <v>158</v>
      </c>
      <c r="C42" s="104">
        <v>4</v>
      </c>
      <c r="D42" s="104" t="s">
        <v>102</v>
      </c>
      <c r="E42" s="81">
        <v>3931384</v>
      </c>
      <c r="F42" s="200">
        <v>0.5</v>
      </c>
      <c r="G42" s="104">
        <v>8</v>
      </c>
      <c r="H42" s="81">
        <f>C42*E42*G42*F42</f>
        <v>62902144</v>
      </c>
      <c r="I42" s="52"/>
    </row>
    <row r="43" spans="2:15" s="101" customFormat="1" x14ac:dyDescent="0.2">
      <c r="B43" s="104" t="s">
        <v>56</v>
      </c>
      <c r="C43" s="104">
        <v>4</v>
      </c>
      <c r="D43" s="104" t="s">
        <v>73</v>
      </c>
      <c r="E43" s="81">
        <v>1300000</v>
      </c>
      <c r="F43" s="200">
        <v>0.5</v>
      </c>
      <c r="G43" s="104">
        <v>8</v>
      </c>
      <c r="H43" s="81">
        <f>C43*E43*G43*F43</f>
        <v>20800000</v>
      </c>
      <c r="I43" s="52"/>
    </row>
    <row r="44" spans="2:15" s="101" customFormat="1" x14ac:dyDescent="0.2">
      <c r="B44" s="104" t="s">
        <v>178</v>
      </c>
      <c r="C44" s="104">
        <v>4</v>
      </c>
      <c r="D44" s="104" t="s">
        <v>73</v>
      </c>
      <c r="E44" s="81">
        <v>155000</v>
      </c>
      <c r="F44" s="200">
        <v>0.5</v>
      </c>
      <c r="G44" s="104">
        <v>8</v>
      </c>
      <c r="H44" s="81">
        <f>C44*E44*G44*F44</f>
        <v>2480000</v>
      </c>
      <c r="I44" s="52"/>
    </row>
    <row r="45" spans="2:15" ht="15" x14ac:dyDescent="0.25">
      <c r="B45" s="104" t="s">
        <v>98</v>
      </c>
      <c r="C45" s="104"/>
      <c r="D45" s="104"/>
      <c r="E45" s="104"/>
      <c r="F45" s="104"/>
      <c r="G45" s="104"/>
      <c r="H45" s="81" t="s">
        <v>67</v>
      </c>
      <c r="I45" s="352" t="s">
        <v>159</v>
      </c>
      <c r="J45" s="38"/>
    </row>
    <row r="46" spans="2:15" ht="15" x14ac:dyDescent="0.25">
      <c r="B46" s="85" t="s">
        <v>32</v>
      </c>
      <c r="C46" s="86"/>
      <c r="D46" s="86"/>
      <c r="E46" s="86"/>
      <c r="F46" s="87"/>
      <c r="G46" s="87"/>
      <c r="H46" s="114">
        <f>SUM(H26:H45)</f>
        <v>2065964955</v>
      </c>
      <c r="I46" s="353">
        <f>H46/12</f>
        <v>172163746.25</v>
      </c>
      <c r="J46" s="38"/>
    </row>
    <row r="47" spans="2:15" s="101" customFormat="1" ht="15" x14ac:dyDescent="0.25">
      <c r="B47" s="85" t="s">
        <v>407</v>
      </c>
      <c r="C47" s="134"/>
      <c r="D47" s="134"/>
      <c r="E47" s="134"/>
      <c r="F47" s="134"/>
      <c r="G47" s="134"/>
      <c r="H47" s="134"/>
      <c r="I47" s="354"/>
      <c r="J47" s="311">
        <v>3</v>
      </c>
      <c r="K47" s="311">
        <v>4</v>
      </c>
      <c r="L47" s="311">
        <v>5</v>
      </c>
      <c r="M47" s="311">
        <v>6</v>
      </c>
      <c r="N47" s="311">
        <v>7</v>
      </c>
      <c r="O47" s="101" t="s">
        <v>32</v>
      </c>
    </row>
    <row r="48" spans="2:15" s="106" customFormat="1" ht="15" x14ac:dyDescent="0.25">
      <c r="B48" s="134"/>
      <c r="C48" s="134"/>
      <c r="D48" s="134"/>
      <c r="E48" s="134"/>
      <c r="F48" s="134"/>
      <c r="G48" s="134"/>
      <c r="H48" s="134"/>
      <c r="I48" s="135"/>
      <c r="J48" s="311">
        <v>4676474860.1999989</v>
      </c>
      <c r="K48" s="311">
        <v>5356689385.3199997</v>
      </c>
      <c r="L48" s="311">
        <v>6093234175.8014994</v>
      </c>
      <c r="M48" s="311">
        <v>6890041721.8678493</v>
      </c>
      <c r="N48" s="311">
        <v>7957998188.7573671</v>
      </c>
      <c r="O48" s="417">
        <f>SUM(J48:N48)</f>
        <v>30974438331.946712</v>
      </c>
    </row>
    <row r="49" spans="1:24" s="135" customFormat="1" ht="372.95" customHeight="1" x14ac:dyDescent="0.2">
      <c r="B49" s="157" t="s">
        <v>587</v>
      </c>
      <c r="C49" s="134"/>
      <c r="D49" s="134"/>
      <c r="E49" s="134"/>
      <c r="F49" s="134"/>
      <c r="G49" s="134"/>
      <c r="H49" s="134"/>
    </row>
    <row r="50" spans="1:24" ht="15" x14ac:dyDescent="0.25">
      <c r="B50" s="55"/>
      <c r="C50" s="55"/>
      <c r="D50" s="55"/>
      <c r="E50" s="55"/>
      <c r="F50" s="55"/>
      <c r="G50" s="55"/>
      <c r="H50" s="55"/>
      <c r="I50" s="90"/>
    </row>
    <row r="51" spans="1:24" s="38" customFormat="1" ht="14.45" customHeight="1" x14ac:dyDescent="0.25">
      <c r="A51" s="91"/>
      <c r="B51" s="853" t="str">
        <f>B9</f>
        <v>1.2. Posicionamiento de la oferta del maíz nacional y sus derivados, para alimentación humana y otros usos.</v>
      </c>
      <c r="C51" s="852"/>
      <c r="D51" s="852"/>
      <c r="E51" s="852"/>
      <c r="F51" s="852"/>
      <c r="G51" s="852"/>
      <c r="H51" s="852"/>
    </row>
    <row r="52" spans="1:24" hidden="1" x14ac:dyDescent="0.2">
      <c r="B52" s="134"/>
      <c r="C52" s="134"/>
      <c r="D52" s="134"/>
      <c r="E52" s="134"/>
      <c r="F52" s="134"/>
      <c r="G52" s="134"/>
      <c r="H52" s="134"/>
    </row>
    <row r="53" spans="1:24" s="102" customFormat="1" ht="29.45" customHeight="1" x14ac:dyDescent="0.25">
      <c r="B53" s="854" t="str">
        <f>Portafolio_Cadena_Maíz!H8</f>
        <v>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v>
      </c>
      <c r="C53" s="855"/>
      <c r="D53" s="855"/>
      <c r="E53" s="855"/>
      <c r="F53" s="855"/>
      <c r="G53" s="855"/>
      <c r="H53" s="855"/>
      <c r="I53" s="393"/>
      <c r="X53" s="77"/>
    </row>
    <row r="54" spans="1:24" s="102" customFormat="1" ht="32.450000000000003" customHeight="1" x14ac:dyDescent="0.25">
      <c r="B54" s="854" t="str">
        <f>Portafolio_Cadena_Maíz!H9</f>
        <v>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v>
      </c>
      <c r="C54" s="855"/>
      <c r="D54" s="855"/>
      <c r="E54" s="855"/>
      <c r="F54" s="855"/>
      <c r="G54" s="855"/>
      <c r="H54" s="855"/>
      <c r="I54" s="393"/>
      <c r="X54" s="77"/>
    </row>
    <row r="55" spans="1:24" s="102" customFormat="1" ht="30.95" customHeight="1" x14ac:dyDescent="0.25">
      <c r="B55" s="854" t="str">
        <f>Portafolio_Cadena_Maíz!H10</f>
        <v>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v>
      </c>
      <c r="C55" s="855"/>
      <c r="D55" s="855"/>
      <c r="E55" s="855"/>
      <c r="F55" s="855"/>
      <c r="G55" s="855"/>
      <c r="H55" s="855"/>
      <c r="I55" s="393"/>
      <c r="X55" s="77"/>
    </row>
    <row r="56" spans="1:24" s="102" customFormat="1" ht="32.450000000000003" customHeight="1" x14ac:dyDescent="0.25">
      <c r="B56" s="854" t="str">
        <f>Portafolio_Cadena_Maíz!H11</f>
        <v>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v>
      </c>
      <c r="C56" s="855"/>
      <c r="D56" s="855"/>
      <c r="E56" s="855"/>
      <c r="F56" s="855"/>
      <c r="G56" s="855"/>
      <c r="H56" s="855"/>
      <c r="I56" s="393"/>
      <c r="X56" s="77"/>
    </row>
    <row r="57" spans="1:24" s="102" customFormat="1" ht="15" x14ac:dyDescent="0.25">
      <c r="B57" s="854" t="str">
        <f>Portafolio_Cadena_Maíz!H12</f>
        <v xml:space="preserve">1.2.5. Mejorar el nivel de información del consumidor y de las empresas compradoras de maíz, subproductos, derivados y demás usos, respecto a las calidades, usos, origen, valor agregado, elementos diferenciadores, entre otros. </v>
      </c>
      <c r="C57" s="855"/>
      <c r="D57" s="855"/>
      <c r="E57" s="855"/>
      <c r="F57" s="855"/>
      <c r="G57" s="855"/>
      <c r="H57" s="855"/>
      <c r="I57" s="393"/>
      <c r="X57" s="77"/>
    </row>
    <row r="58" spans="1:24" s="102" customFormat="1" ht="44.1" customHeight="1" x14ac:dyDescent="0.25">
      <c r="B58" s="854" t="str">
        <f>Portafolio_Cadena_Maíz!H13</f>
        <v>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v>
      </c>
      <c r="C58" s="855"/>
      <c r="D58" s="855"/>
      <c r="E58" s="855"/>
      <c r="F58" s="855"/>
      <c r="G58" s="855"/>
      <c r="H58" s="855"/>
      <c r="I58" s="393"/>
      <c r="X58" s="77"/>
    </row>
    <row r="59" spans="1:24" s="102" customFormat="1" ht="15" x14ac:dyDescent="0.25">
      <c r="B59" s="396"/>
      <c r="C59" s="415"/>
      <c r="D59" s="415"/>
      <c r="E59" s="415"/>
      <c r="F59" s="415"/>
      <c r="G59" s="415"/>
      <c r="H59" s="415"/>
      <c r="I59" s="414"/>
      <c r="X59" s="77"/>
    </row>
    <row r="60" spans="1:24" s="135" customFormat="1" ht="14.45" customHeight="1" x14ac:dyDescent="0.25">
      <c r="B60" s="397"/>
      <c r="C60" s="397"/>
      <c r="D60" s="397"/>
      <c r="E60" s="397"/>
      <c r="F60" s="397"/>
      <c r="G60" s="397"/>
      <c r="H60" s="397"/>
      <c r="I60" s="398"/>
      <c r="X60" s="399"/>
    </row>
    <row r="61" spans="1:24" s="102" customFormat="1" ht="14.45" customHeight="1" x14ac:dyDescent="0.25">
      <c r="B61" s="856" t="s">
        <v>595</v>
      </c>
      <c r="C61" s="856"/>
      <c r="D61" s="856"/>
      <c r="E61" s="856"/>
      <c r="F61" s="856"/>
      <c r="G61" s="856"/>
      <c r="H61" s="856"/>
      <c r="I61" s="393"/>
      <c r="X61" s="77"/>
    </row>
    <row r="62" spans="1:24" s="102" customFormat="1" ht="14.45" customHeight="1" x14ac:dyDescent="0.25">
      <c r="B62" s="78" t="s">
        <v>68</v>
      </c>
      <c r="C62" s="78" t="s">
        <v>58</v>
      </c>
      <c r="D62" s="78" t="s">
        <v>55</v>
      </c>
      <c r="E62" s="78" t="s">
        <v>54</v>
      </c>
      <c r="F62" s="78" t="s">
        <v>69</v>
      </c>
      <c r="G62" s="78" t="s">
        <v>70</v>
      </c>
      <c r="H62" s="78" t="s">
        <v>71</v>
      </c>
      <c r="I62" s="393"/>
      <c r="X62" s="77"/>
    </row>
    <row r="63" spans="1:24" s="38" customFormat="1" x14ac:dyDescent="0.2">
      <c r="A63" s="92"/>
      <c r="B63" s="39" t="s">
        <v>72</v>
      </c>
      <c r="C63" s="39">
        <v>6</v>
      </c>
      <c r="D63" s="39" t="s">
        <v>73</v>
      </c>
      <c r="E63" s="45">
        <v>500000</v>
      </c>
      <c r="F63" s="39"/>
      <c r="G63" s="39"/>
      <c r="H63" s="81">
        <f>C63*E63</f>
        <v>3000000</v>
      </c>
      <c r="I63" s="44"/>
      <c r="J63" s="137"/>
    </row>
    <row r="64" spans="1:24" s="38" customFormat="1" x14ac:dyDescent="0.2">
      <c r="B64" s="39" t="s">
        <v>74</v>
      </c>
      <c r="C64" s="39">
        <v>6</v>
      </c>
      <c r="D64" s="39" t="s">
        <v>73</v>
      </c>
      <c r="E64" s="45">
        <v>100000</v>
      </c>
      <c r="F64" s="39"/>
      <c r="G64" s="39"/>
      <c r="H64" s="81">
        <f t="shared" ref="H64:H82" si="7">C64*E64</f>
        <v>600000</v>
      </c>
      <c r="I64" s="44"/>
      <c r="J64" s="137"/>
    </row>
    <row r="65" spans="1:10" s="102" customFormat="1" x14ac:dyDescent="0.2">
      <c r="B65" s="103" t="s">
        <v>149</v>
      </c>
      <c r="C65" s="103">
        <v>1</v>
      </c>
      <c r="D65" s="103" t="s">
        <v>144</v>
      </c>
      <c r="E65" s="45">
        <v>11154675.000000002</v>
      </c>
      <c r="F65" s="103"/>
      <c r="G65" s="103"/>
      <c r="H65" s="81">
        <f t="shared" si="7"/>
        <v>11154675.000000002</v>
      </c>
      <c r="I65" s="44"/>
      <c r="J65" s="137"/>
    </row>
    <row r="66" spans="1:10" s="101" customFormat="1" x14ac:dyDescent="0.2">
      <c r="B66" s="103" t="s">
        <v>199</v>
      </c>
      <c r="C66" s="103">
        <v>2</v>
      </c>
      <c r="D66" s="103" t="s">
        <v>73</v>
      </c>
      <c r="E66" s="45">
        <v>3500000</v>
      </c>
      <c r="F66" s="103"/>
      <c r="G66" s="103"/>
      <c r="H66" s="81">
        <f t="shared" si="7"/>
        <v>7000000</v>
      </c>
      <c r="I66" s="100"/>
      <c r="J66" s="137"/>
    </row>
    <row r="67" spans="1:10" s="101" customFormat="1" x14ac:dyDescent="0.2">
      <c r="B67" s="103" t="s">
        <v>75</v>
      </c>
      <c r="C67" s="103">
        <v>2</v>
      </c>
      <c r="D67" s="103" t="s">
        <v>101</v>
      </c>
      <c r="E67" s="45">
        <v>4227315</v>
      </c>
      <c r="F67" s="103"/>
      <c r="G67" s="103"/>
      <c r="H67" s="81">
        <f t="shared" si="7"/>
        <v>8454630</v>
      </c>
      <c r="I67" s="100"/>
      <c r="J67" s="137"/>
    </row>
    <row r="68" spans="1:10" s="101" customFormat="1" x14ac:dyDescent="0.2">
      <c r="B68" s="103" t="s">
        <v>260</v>
      </c>
      <c r="C68" s="103">
        <v>10</v>
      </c>
      <c r="D68" s="103" t="s">
        <v>387</v>
      </c>
      <c r="E68" s="45">
        <v>8954882.5200000014</v>
      </c>
      <c r="F68" s="103"/>
      <c r="G68" s="103"/>
      <c r="H68" s="81">
        <f t="shared" si="7"/>
        <v>89548825.200000018</v>
      </c>
      <c r="I68" s="100"/>
      <c r="J68" s="137"/>
    </row>
    <row r="69" spans="1:10" s="101" customFormat="1" x14ac:dyDescent="0.2">
      <c r="B69" s="103" t="s">
        <v>261</v>
      </c>
      <c r="C69" s="103">
        <v>5</v>
      </c>
      <c r="D69" s="103" t="s">
        <v>387</v>
      </c>
      <c r="E69" s="45">
        <v>19476574.949999999</v>
      </c>
      <c r="F69" s="103"/>
      <c r="G69" s="103"/>
      <c r="H69" s="81">
        <f t="shared" si="7"/>
        <v>97382874.75</v>
      </c>
      <c r="I69" s="100"/>
      <c r="J69" s="137"/>
    </row>
    <row r="70" spans="1:10" s="38" customFormat="1" x14ac:dyDescent="0.2">
      <c r="A70" s="92"/>
      <c r="B70" s="39" t="s">
        <v>146</v>
      </c>
      <c r="C70" s="41">
        <f>2*10</f>
        <v>20</v>
      </c>
      <c r="D70" s="39" t="s">
        <v>73</v>
      </c>
      <c r="E70" s="45">
        <v>2300000</v>
      </c>
      <c r="F70" s="39"/>
      <c r="G70" s="39"/>
      <c r="H70" s="81">
        <f t="shared" si="7"/>
        <v>46000000</v>
      </c>
      <c r="I70" s="83"/>
      <c r="J70" s="137"/>
    </row>
    <row r="71" spans="1:10" s="38" customFormat="1" x14ac:dyDescent="0.2">
      <c r="A71" s="92"/>
      <c r="B71" s="39" t="s">
        <v>147</v>
      </c>
      <c r="C71" s="41">
        <f>2*10</f>
        <v>20</v>
      </c>
      <c r="D71" s="39" t="s">
        <v>73</v>
      </c>
      <c r="E71" s="45">
        <v>460000</v>
      </c>
      <c r="F71" s="39"/>
      <c r="G71" s="39"/>
      <c r="H71" s="81">
        <f t="shared" si="7"/>
        <v>9200000</v>
      </c>
      <c r="I71" s="84"/>
      <c r="J71" s="137"/>
    </row>
    <row r="72" spans="1:10" s="38" customFormat="1" x14ac:dyDescent="0.2">
      <c r="B72" s="39" t="s">
        <v>148</v>
      </c>
      <c r="C72" s="41">
        <v>8</v>
      </c>
      <c r="D72" s="38" t="s">
        <v>152</v>
      </c>
      <c r="E72" s="45">
        <v>18000000</v>
      </c>
      <c r="F72" s="39"/>
      <c r="G72" s="39"/>
      <c r="H72" s="81">
        <f t="shared" si="7"/>
        <v>144000000</v>
      </c>
      <c r="I72" s="83"/>
      <c r="J72" s="137"/>
    </row>
    <row r="73" spans="1:10" x14ac:dyDescent="0.2">
      <c r="B73" s="47" t="s">
        <v>230</v>
      </c>
      <c r="C73" s="41">
        <v>8</v>
      </c>
      <c r="D73" s="39" t="s">
        <v>65</v>
      </c>
      <c r="E73" s="82">
        <v>52200000</v>
      </c>
      <c r="F73" s="39"/>
      <c r="G73" s="39"/>
      <c r="H73" s="81">
        <f t="shared" si="7"/>
        <v>417600000</v>
      </c>
      <c r="I73" s="44"/>
      <c r="J73" s="52"/>
    </row>
    <row r="74" spans="1:10" s="101" customFormat="1" x14ac:dyDescent="0.2">
      <c r="B74" s="47" t="s">
        <v>258</v>
      </c>
      <c r="C74" s="104">
        <v>8</v>
      </c>
      <c r="D74" s="39" t="s">
        <v>151</v>
      </c>
      <c r="E74" s="108">
        <v>20000000</v>
      </c>
      <c r="F74" s="103"/>
      <c r="G74" s="103"/>
      <c r="H74" s="81">
        <f t="shared" si="7"/>
        <v>160000000</v>
      </c>
      <c r="I74" s="44"/>
      <c r="J74" s="52"/>
    </row>
    <row r="75" spans="1:10" x14ac:dyDescent="0.2">
      <c r="B75" s="39" t="s">
        <v>153</v>
      </c>
      <c r="C75" s="39">
        <v>4</v>
      </c>
      <c r="D75" s="39" t="s">
        <v>387</v>
      </c>
      <c r="E75" s="82">
        <v>43000000</v>
      </c>
      <c r="F75" s="93"/>
      <c r="G75" s="39"/>
      <c r="H75" s="81">
        <f t="shared" si="7"/>
        <v>172000000</v>
      </c>
      <c r="I75" s="44"/>
      <c r="J75" s="52"/>
    </row>
    <row r="76" spans="1:10" s="101" customFormat="1" x14ac:dyDescent="0.2">
      <c r="B76" s="103" t="s">
        <v>82</v>
      </c>
      <c r="C76" s="103">
        <v>1</v>
      </c>
      <c r="D76" s="103" t="s">
        <v>73</v>
      </c>
      <c r="E76" s="108">
        <v>217000000</v>
      </c>
      <c r="F76" s="93"/>
      <c r="G76" s="103"/>
      <c r="H76" s="81">
        <f t="shared" si="7"/>
        <v>217000000</v>
      </c>
      <c r="I76" s="44"/>
      <c r="J76" s="52"/>
    </row>
    <row r="77" spans="1:10" s="101" customFormat="1" x14ac:dyDescent="0.2">
      <c r="B77" s="103" t="s">
        <v>154</v>
      </c>
      <c r="C77" s="103">
        <v>4</v>
      </c>
      <c r="D77" s="103" t="s">
        <v>73</v>
      </c>
      <c r="E77" s="108">
        <v>125500000</v>
      </c>
      <c r="F77" s="93"/>
      <c r="G77" s="103"/>
      <c r="H77" s="81">
        <f t="shared" si="7"/>
        <v>502000000</v>
      </c>
      <c r="I77" s="44"/>
      <c r="J77" s="52"/>
    </row>
    <row r="78" spans="1:10" x14ac:dyDescent="0.2">
      <c r="B78" s="95" t="s">
        <v>81</v>
      </c>
      <c r="C78" s="39">
        <f>4*2</f>
        <v>8</v>
      </c>
      <c r="D78" s="39" t="s">
        <v>73</v>
      </c>
      <c r="E78" s="82">
        <v>1500000</v>
      </c>
      <c r="F78" s="96"/>
      <c r="G78" s="39"/>
      <c r="H78" s="81">
        <f t="shared" si="7"/>
        <v>12000000</v>
      </c>
      <c r="I78" s="44"/>
      <c r="J78" s="52"/>
    </row>
    <row r="79" spans="1:10" x14ac:dyDescent="0.2">
      <c r="B79" s="95" t="s">
        <v>61</v>
      </c>
      <c r="C79" s="39">
        <v>2</v>
      </c>
      <c r="D79" s="39" t="s">
        <v>73</v>
      </c>
      <c r="E79" s="82">
        <v>5000000</v>
      </c>
      <c r="F79" s="96"/>
      <c r="G79" s="39"/>
      <c r="H79" s="81">
        <f t="shared" si="7"/>
        <v>10000000</v>
      </c>
      <c r="I79" s="44"/>
      <c r="J79" s="52"/>
    </row>
    <row r="80" spans="1:10" x14ac:dyDescent="0.2">
      <c r="B80" s="95" t="s">
        <v>155</v>
      </c>
      <c r="C80" s="39">
        <f>2*10</f>
        <v>20</v>
      </c>
      <c r="D80" s="39" t="s">
        <v>73</v>
      </c>
      <c r="E80" s="82">
        <v>14500000</v>
      </c>
      <c r="F80" s="96"/>
      <c r="G80" s="39"/>
      <c r="H80" s="81">
        <f t="shared" si="7"/>
        <v>290000000</v>
      </c>
      <c r="I80" s="44"/>
      <c r="J80" s="52"/>
    </row>
    <row r="81" spans="2:10" x14ac:dyDescent="0.2">
      <c r="B81" s="56" t="s">
        <v>156</v>
      </c>
      <c r="C81" s="39">
        <f>2*4</f>
        <v>8</v>
      </c>
      <c r="D81" s="39" t="s">
        <v>65</v>
      </c>
      <c r="E81" s="82">
        <v>6000000</v>
      </c>
      <c r="F81" s="97"/>
      <c r="G81" s="39"/>
      <c r="H81" s="81">
        <f t="shared" si="7"/>
        <v>48000000</v>
      </c>
      <c r="I81" s="44"/>
      <c r="J81" s="52"/>
    </row>
    <row r="82" spans="2:10" x14ac:dyDescent="0.2">
      <c r="B82" s="56" t="s">
        <v>77</v>
      </c>
      <c r="C82" s="39">
        <f>2*4</f>
        <v>8</v>
      </c>
      <c r="D82" s="39" t="s">
        <v>65</v>
      </c>
      <c r="E82" s="82">
        <v>1800000</v>
      </c>
      <c r="F82" s="97"/>
      <c r="G82" s="39"/>
      <c r="H82" s="94">
        <f t="shared" si="7"/>
        <v>14400000</v>
      </c>
      <c r="I82" s="44"/>
      <c r="J82" s="52"/>
    </row>
    <row r="83" spans="2:10" x14ac:dyDescent="0.2">
      <c r="B83" s="39" t="s">
        <v>79</v>
      </c>
      <c r="C83" s="39">
        <v>5</v>
      </c>
      <c r="D83" s="39" t="s">
        <v>145</v>
      </c>
      <c r="E83" s="45">
        <v>7862772</v>
      </c>
      <c r="F83" s="97">
        <v>0.5</v>
      </c>
      <c r="G83" s="39">
        <v>12</v>
      </c>
      <c r="H83" s="43">
        <f>C83*E83*G83*F83</f>
        <v>235883160</v>
      </c>
      <c r="I83" s="44"/>
      <c r="J83" s="52"/>
    </row>
    <row r="84" spans="2:10" x14ac:dyDescent="0.2">
      <c r="B84" s="39" t="s">
        <v>80</v>
      </c>
      <c r="C84" s="39">
        <v>8</v>
      </c>
      <c r="D84" s="39" t="s">
        <v>157</v>
      </c>
      <c r="E84" s="45">
        <v>1313122</v>
      </c>
      <c r="F84" s="39"/>
      <c r="G84" s="39"/>
      <c r="H84" s="43">
        <f>C84*E84</f>
        <v>10504976</v>
      </c>
      <c r="I84" s="44"/>
      <c r="J84" s="52"/>
    </row>
    <row r="85" spans="2:10" s="101" customFormat="1" x14ac:dyDescent="0.2">
      <c r="B85" s="103" t="s">
        <v>158</v>
      </c>
      <c r="C85" s="103">
        <v>7</v>
      </c>
      <c r="D85" s="103" t="s">
        <v>145</v>
      </c>
      <c r="E85" s="45">
        <v>3931384</v>
      </c>
      <c r="F85" s="97">
        <v>0.5</v>
      </c>
      <c r="G85" s="103">
        <v>8</v>
      </c>
      <c r="H85" s="43">
        <f>C85*E85*G85*F85</f>
        <v>110078752</v>
      </c>
      <c r="I85" s="44"/>
      <c r="J85" s="52"/>
    </row>
    <row r="86" spans="2:10" s="101" customFormat="1" x14ac:dyDescent="0.2">
      <c r="B86" s="103" t="s">
        <v>56</v>
      </c>
      <c r="C86" s="103">
        <v>7</v>
      </c>
      <c r="D86" s="103" t="s">
        <v>56</v>
      </c>
      <c r="E86" s="45">
        <v>1300000</v>
      </c>
      <c r="F86" s="97">
        <v>0.5</v>
      </c>
      <c r="G86" s="103">
        <v>8</v>
      </c>
      <c r="H86" s="43">
        <f>C86*E86*G86*F86</f>
        <v>36400000</v>
      </c>
      <c r="I86" s="44"/>
    </row>
    <row r="87" spans="2:10" s="101" customFormat="1" x14ac:dyDescent="0.2">
      <c r="B87" s="103" t="s">
        <v>178</v>
      </c>
      <c r="C87" s="103">
        <v>7</v>
      </c>
      <c r="D87" s="103" t="s">
        <v>56</v>
      </c>
      <c r="E87" s="45">
        <v>155000</v>
      </c>
      <c r="F87" s="97">
        <v>0.5</v>
      </c>
      <c r="G87" s="103">
        <v>8</v>
      </c>
      <c r="H87" s="43">
        <f>C87*E87*G87*F87</f>
        <v>4340000</v>
      </c>
      <c r="I87" s="44"/>
    </row>
    <row r="88" spans="2:10" ht="15" x14ac:dyDescent="0.25">
      <c r="B88" s="39" t="s">
        <v>84</v>
      </c>
      <c r="C88" s="39"/>
      <c r="D88" s="39"/>
      <c r="E88" s="39"/>
      <c r="F88" s="39"/>
      <c r="G88" s="39"/>
      <c r="H88" s="41"/>
      <c r="I88" s="98" t="s">
        <v>159</v>
      </c>
    </row>
    <row r="89" spans="2:10" ht="15" x14ac:dyDescent="0.25">
      <c r="B89" s="85" t="s">
        <v>85</v>
      </c>
      <c r="C89" s="86"/>
      <c r="D89" s="86"/>
      <c r="E89" s="87"/>
      <c r="F89" s="87"/>
      <c r="G89" s="86"/>
      <c r="H89" s="98">
        <f>SUM(H63:H88)</f>
        <v>2656547892.9499998</v>
      </c>
      <c r="I89" s="98">
        <f>H89/12</f>
        <v>221378991.07916665</v>
      </c>
    </row>
    <row r="90" spans="2:10" s="38" customFormat="1" ht="260.45" hidden="1" customHeight="1" x14ac:dyDescent="0.25">
      <c r="B90" s="99" t="s">
        <v>86</v>
      </c>
      <c r="C90" s="55"/>
      <c r="D90" s="55"/>
      <c r="E90" s="55"/>
      <c r="F90" s="55"/>
      <c r="G90" s="55"/>
      <c r="H90" s="98">
        <f t="shared" ref="H90" si="8">SUM(H64:H89)</f>
        <v>5310095785.8999996</v>
      </c>
      <c r="J90" s="37"/>
    </row>
    <row r="91" spans="2:10" ht="391.5" customHeight="1" x14ac:dyDescent="0.2">
      <c r="B91" s="206" t="s">
        <v>586</v>
      </c>
      <c r="C91" s="38"/>
      <c r="D91" s="38"/>
      <c r="E91" s="38"/>
      <c r="F91" s="77"/>
      <c r="G91" s="77"/>
      <c r="H91" s="101"/>
    </row>
    <row r="92" spans="2:10" x14ac:dyDescent="0.2">
      <c r="B92" s="38"/>
      <c r="C92" s="38"/>
      <c r="D92" s="38"/>
      <c r="E92" s="38"/>
      <c r="F92" s="38"/>
      <c r="G92" s="38"/>
    </row>
  </sheetData>
  <sheetProtection algorithmName="SHA-512" hashValue="1VQHUmXxRlq4iaIm8u3JhSxLn8MU9xYQyYUrjuyyKs9giAea4zQd+SdfCHKQKqViQl1nYqGWb2wEJgsCRtfi2A==" saltValue="r1VineNx1+OuB71s5DpyrA==" spinCount="100000" sheet="1" objects="1" scenarios="1"/>
  <mergeCells count="16">
    <mergeCell ref="B55:H55"/>
    <mergeCell ref="B58:H58"/>
    <mergeCell ref="B24:H24"/>
    <mergeCell ref="B61:H61"/>
    <mergeCell ref="B53:H53"/>
    <mergeCell ref="B54:H54"/>
    <mergeCell ref="B56:H56"/>
    <mergeCell ref="B57:H57"/>
    <mergeCell ref="B13:H14"/>
    <mergeCell ref="B51:H51"/>
    <mergeCell ref="B15:H15"/>
    <mergeCell ref="B16:H16"/>
    <mergeCell ref="B17:H17"/>
    <mergeCell ref="B18:H20"/>
    <mergeCell ref="B21:H21"/>
    <mergeCell ref="B22:H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8"/>
  <sheetViews>
    <sheetView showGridLines="0" zoomScale="60" zoomScaleNormal="60" workbookViewId="0">
      <selection activeCell="B95" sqref="B95"/>
    </sheetView>
  </sheetViews>
  <sheetFormatPr baseColWidth="10" defaultColWidth="10.7109375" defaultRowHeight="14.25" x14ac:dyDescent="0.2"/>
  <cols>
    <col min="1" max="1" width="17.5703125" style="101" customWidth="1"/>
    <col min="2" max="2" width="109.7109375" style="101" customWidth="1"/>
    <col min="3" max="3" width="26.5703125" style="101" customWidth="1"/>
    <col min="4" max="4" width="27.140625" style="101" customWidth="1"/>
    <col min="5" max="5" width="22.42578125" style="101" customWidth="1"/>
    <col min="6" max="6" width="21.42578125" style="101" bestFit="1" customWidth="1"/>
    <col min="7" max="7" width="26.28515625" style="101" customWidth="1"/>
    <col min="8" max="8" width="21.5703125" style="101" customWidth="1"/>
    <col min="9" max="9" width="21.7109375" style="101" customWidth="1"/>
    <col min="10" max="10" width="19.7109375" style="101" bestFit="1" customWidth="1"/>
    <col min="11" max="11" width="21.42578125" style="101" bestFit="1" customWidth="1"/>
    <col min="12" max="12" width="22.5703125" style="101" customWidth="1"/>
    <col min="13" max="18" width="19.7109375" style="101" bestFit="1" customWidth="1"/>
    <col min="19" max="22" width="19.85546875" style="101" bestFit="1" customWidth="1"/>
    <col min="23" max="23" width="20.5703125" style="101" bestFit="1" customWidth="1"/>
    <col min="24" max="24" width="25.42578125" style="101" customWidth="1"/>
    <col min="25" max="25" width="22.42578125" style="101" bestFit="1" customWidth="1"/>
    <col min="26" max="26" width="19.42578125" style="101" bestFit="1" customWidth="1"/>
    <col min="27" max="27" width="18.5703125"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Portafolio_Cadena_Maíz!C14</f>
        <v>2. Mejoramiento productivo del cultivo de maíz.</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SUM(E8:E10)</f>
        <v>1802829810.5</v>
      </c>
      <c r="F7" s="65">
        <f t="shared" ref="F7:Y7" si="0">SUM(F8:F10)</f>
        <v>54700812917.111115</v>
      </c>
      <c r="G7" s="65">
        <f t="shared" si="0"/>
        <v>61253533717.444443</v>
      </c>
      <c r="H7" s="65">
        <f t="shared" si="0"/>
        <v>69317638832.257782</v>
      </c>
      <c r="I7" s="65">
        <f t="shared" si="0"/>
        <v>81098964452.682312</v>
      </c>
      <c r="J7" s="65">
        <f t="shared" si="0"/>
        <v>91883826535.881378</v>
      </c>
      <c r="K7" s="65">
        <f t="shared" si="0"/>
        <v>111419108894.08849</v>
      </c>
      <c r="L7" s="65">
        <f t="shared" si="0"/>
        <v>132441857685.80318</v>
      </c>
      <c r="M7" s="65">
        <f t="shared" si="0"/>
        <v>156729585425.01498</v>
      </c>
      <c r="N7" s="65">
        <f t="shared" si="0"/>
        <v>185909956374.87408</v>
      </c>
      <c r="O7" s="65">
        <f t="shared" si="0"/>
        <v>156483415817.74164</v>
      </c>
      <c r="P7" s="65">
        <f t="shared" si="0"/>
        <v>47500191319.037148</v>
      </c>
      <c r="Q7" s="65">
        <f t="shared" si="0"/>
        <v>41686713634.004921</v>
      </c>
      <c r="R7" s="65">
        <f t="shared" si="0"/>
        <v>37060542406.949623</v>
      </c>
      <c r="S7" s="65">
        <f t="shared" si="0"/>
        <v>33227637281.642647</v>
      </c>
      <c r="T7" s="65">
        <f t="shared" si="0"/>
        <v>29793980666.979088</v>
      </c>
      <c r="U7" s="65">
        <f t="shared" si="0"/>
        <v>26586552152.320343</v>
      </c>
      <c r="V7" s="65">
        <f t="shared" si="0"/>
        <v>24954635817.291122</v>
      </c>
      <c r="W7" s="65">
        <f t="shared" si="0"/>
        <v>23500090118.613655</v>
      </c>
      <c r="X7" s="65">
        <f t="shared" si="0"/>
        <v>22395366286.856834</v>
      </c>
      <c r="Y7" s="65">
        <f t="shared" si="0"/>
        <v>1389747240147.0947</v>
      </c>
    </row>
    <row r="8" spans="1:26" s="70" customFormat="1" x14ac:dyDescent="0.2">
      <c r="A8" s="67"/>
      <c r="B8" s="68" t="str">
        <f>Portafolio_Cadena_Maíz!D14</f>
        <v>2.1. Fortalecimiento de la extensión agrícola y asistencia técnica a los productores del sistema tradicional.</v>
      </c>
      <c r="C8" s="113" t="s">
        <v>358</v>
      </c>
      <c r="D8" s="113" t="s">
        <v>185</v>
      </c>
      <c r="E8" s="69">
        <f>I47*3</f>
        <v>579822116.5</v>
      </c>
      <c r="F8" s="69">
        <f t="shared" ref="F8:X8" si="1">I51</f>
        <v>5580556377.1111107</v>
      </c>
      <c r="G8" s="69">
        <f t="shared" si="1"/>
        <v>5384880302.4444447</v>
      </c>
      <c r="H8" s="69">
        <f t="shared" si="1"/>
        <v>5200944792.2577782</v>
      </c>
      <c r="I8" s="69">
        <f t="shared" si="1"/>
        <v>5028045412.6823111</v>
      </c>
      <c r="J8" s="69">
        <f t="shared" si="1"/>
        <v>4865519995.8813725</v>
      </c>
      <c r="K8" s="69">
        <f t="shared" si="1"/>
        <v>4712746104.0884895</v>
      </c>
      <c r="L8" s="69">
        <f t="shared" si="1"/>
        <v>4569138645.8031807</v>
      </c>
      <c r="M8" s="69">
        <f t="shared" si="1"/>
        <v>4434147635.0149899</v>
      </c>
      <c r="N8" s="69">
        <f t="shared" si="1"/>
        <v>4307256084.8740902</v>
      </c>
      <c r="O8" s="69">
        <f t="shared" si="1"/>
        <v>4187978027.7416449</v>
      </c>
      <c r="P8" s="69">
        <f t="shared" si="1"/>
        <v>4075856654.0371466</v>
      </c>
      <c r="Q8" s="69">
        <f t="shared" si="1"/>
        <v>3970462562.7549176</v>
      </c>
      <c r="R8" s="69">
        <f t="shared" si="1"/>
        <v>3871392116.9496226</v>
      </c>
      <c r="S8" s="69">
        <f t="shared" si="1"/>
        <v>3778265897.8926454</v>
      </c>
      <c r="T8" s="69">
        <f t="shared" si="1"/>
        <v>3690727251.9790864</v>
      </c>
      <c r="U8" s="69">
        <f t="shared" si="1"/>
        <v>3608440924.8203416</v>
      </c>
      <c r="V8" s="69">
        <f t="shared" si="1"/>
        <v>3531091777.291121</v>
      </c>
      <c r="W8" s="69">
        <f t="shared" si="1"/>
        <v>3458383578.6136537</v>
      </c>
      <c r="X8" s="69">
        <f t="shared" si="1"/>
        <v>3390037871.8568344</v>
      </c>
      <c r="Y8" s="69">
        <f>SUM(E8:X8)</f>
        <v>82225694130.594788</v>
      </c>
    </row>
    <row r="9" spans="1:26" s="70" customFormat="1" x14ac:dyDescent="0.2">
      <c r="A9" s="67"/>
      <c r="B9" s="68" t="str">
        <f>Portafolio_Cadena_Maíz!D21</f>
        <v>2.2. Implementación efectiva de asistencia técnica profesional, en sistemas tecnificados de maíz.</v>
      </c>
      <c r="C9" s="113" t="s">
        <v>215</v>
      </c>
      <c r="D9" s="113" t="s">
        <v>161</v>
      </c>
      <c r="E9" s="69">
        <f>I87*3</f>
        <v>937600168</v>
      </c>
      <c r="F9" s="69">
        <f>$H$88+I89+I91+I92</f>
        <v>48739713172</v>
      </c>
      <c r="G9" s="69">
        <f t="shared" ref="G9:O9" si="2">$H$88+J89+J91+J92</f>
        <v>55488110047</v>
      </c>
      <c r="H9" s="69">
        <f t="shared" si="2"/>
        <v>63736150672</v>
      </c>
      <c r="I9" s="69">
        <f t="shared" si="2"/>
        <v>75690375672</v>
      </c>
      <c r="J9" s="69">
        <f t="shared" si="2"/>
        <v>86637763172</v>
      </c>
      <c r="K9" s="69">
        <f t="shared" si="2"/>
        <v>106325819422</v>
      </c>
      <c r="L9" s="69">
        <f t="shared" si="2"/>
        <v>127492175672</v>
      </c>
      <c r="M9" s="69">
        <f t="shared" si="2"/>
        <v>151914894422</v>
      </c>
      <c r="N9" s="69">
        <f t="shared" si="2"/>
        <v>181222156922</v>
      </c>
      <c r="O9" s="69">
        <f t="shared" si="2"/>
        <v>151914894422</v>
      </c>
      <c r="P9" s="69">
        <f>$H$88+S90+S93+S94</f>
        <v>43043791297</v>
      </c>
      <c r="Q9" s="69">
        <f t="shared" ref="Q9:X9" si="3">$H$88+T90+T93+T94</f>
        <v>37335707703.25</v>
      </c>
      <c r="R9" s="69">
        <f t="shared" si="3"/>
        <v>32808606922</v>
      </c>
      <c r="S9" s="69">
        <f t="shared" si="3"/>
        <v>29068828015.75</v>
      </c>
      <c r="T9" s="69">
        <f t="shared" si="3"/>
        <v>25722710047</v>
      </c>
      <c r="U9" s="69">
        <f t="shared" si="3"/>
        <v>22597567859.5</v>
      </c>
      <c r="V9" s="69">
        <f t="shared" si="3"/>
        <v>21043000672</v>
      </c>
      <c r="W9" s="69">
        <f t="shared" si="3"/>
        <v>19661163172</v>
      </c>
      <c r="X9" s="69">
        <f t="shared" si="3"/>
        <v>18624785047</v>
      </c>
      <c r="Y9" s="69">
        <f t="shared" ref="Y9:Y10" si="4">SUM(E9:X9)</f>
        <v>1300005814498.5</v>
      </c>
    </row>
    <row r="10" spans="1:26" s="70" customFormat="1" x14ac:dyDescent="0.2">
      <c r="A10" s="67"/>
      <c r="B10" s="68" t="str">
        <f>Portafolio_Cadena_Maíz!D28</f>
        <v xml:space="preserve">2.3. Impulso a la producción de maíz a mediana y gran escala.  </v>
      </c>
      <c r="C10" s="113" t="s">
        <v>376</v>
      </c>
      <c r="D10" s="113" t="s">
        <v>161</v>
      </c>
      <c r="E10" s="69">
        <f>I116*9</f>
        <v>285407526</v>
      </c>
      <c r="F10" s="69">
        <f>H116</f>
        <v>380543368</v>
      </c>
      <c r="G10" s="69">
        <f t="shared" ref="G10:I10" si="5">F10</f>
        <v>380543368</v>
      </c>
      <c r="H10" s="69">
        <f t="shared" si="5"/>
        <v>380543368</v>
      </c>
      <c r="I10" s="69">
        <f t="shared" si="5"/>
        <v>380543368</v>
      </c>
      <c r="J10" s="69">
        <f>I10</f>
        <v>380543368</v>
      </c>
      <c r="K10" s="69">
        <f t="shared" ref="K10:X10" si="6">J10</f>
        <v>380543368</v>
      </c>
      <c r="L10" s="69">
        <f t="shared" si="6"/>
        <v>380543368</v>
      </c>
      <c r="M10" s="69">
        <f t="shared" si="6"/>
        <v>380543368</v>
      </c>
      <c r="N10" s="69">
        <f t="shared" si="6"/>
        <v>380543368</v>
      </c>
      <c r="O10" s="69">
        <f t="shared" si="6"/>
        <v>380543368</v>
      </c>
      <c r="P10" s="69">
        <f t="shared" si="6"/>
        <v>380543368</v>
      </c>
      <c r="Q10" s="69">
        <f t="shared" si="6"/>
        <v>380543368</v>
      </c>
      <c r="R10" s="69">
        <f t="shared" si="6"/>
        <v>380543368</v>
      </c>
      <c r="S10" s="69">
        <f t="shared" si="6"/>
        <v>380543368</v>
      </c>
      <c r="T10" s="69">
        <f t="shared" si="6"/>
        <v>380543368</v>
      </c>
      <c r="U10" s="69">
        <f t="shared" si="6"/>
        <v>380543368</v>
      </c>
      <c r="V10" s="69">
        <f t="shared" si="6"/>
        <v>380543368</v>
      </c>
      <c r="W10" s="69">
        <f t="shared" si="6"/>
        <v>380543368</v>
      </c>
      <c r="X10" s="69">
        <f t="shared" si="6"/>
        <v>380543368</v>
      </c>
      <c r="Y10" s="69">
        <f t="shared" si="4"/>
        <v>7515731518</v>
      </c>
    </row>
    <row r="11" spans="1:26" s="40" customFormat="1" ht="24.6" customHeight="1" x14ac:dyDescent="0.25">
      <c r="A11" s="101"/>
      <c r="B11" s="63" t="s">
        <v>32</v>
      </c>
      <c r="C11" s="63"/>
      <c r="D11" s="63"/>
      <c r="E11" s="71">
        <f>SUM(E8:E10)</f>
        <v>1802829810.5</v>
      </c>
      <c r="F11" s="71">
        <f t="shared" ref="F11:Y11" si="7">SUM(F8:F10)</f>
        <v>54700812917.111115</v>
      </c>
      <c r="G11" s="71">
        <f t="shared" si="7"/>
        <v>61253533717.444443</v>
      </c>
      <c r="H11" s="71">
        <f t="shared" si="7"/>
        <v>69317638832.257782</v>
      </c>
      <c r="I11" s="71">
        <f t="shared" si="7"/>
        <v>81098964452.682312</v>
      </c>
      <c r="J11" s="71">
        <f t="shared" si="7"/>
        <v>91883826535.881378</v>
      </c>
      <c r="K11" s="71">
        <f t="shared" si="7"/>
        <v>111419108894.08849</v>
      </c>
      <c r="L11" s="71">
        <f t="shared" si="7"/>
        <v>132441857685.80318</v>
      </c>
      <c r="M11" s="71">
        <f t="shared" si="7"/>
        <v>156729585425.01498</v>
      </c>
      <c r="N11" s="71">
        <f t="shared" si="7"/>
        <v>185909956374.87408</v>
      </c>
      <c r="O11" s="71">
        <f t="shared" si="7"/>
        <v>156483415817.74164</v>
      </c>
      <c r="P11" s="71">
        <f t="shared" si="7"/>
        <v>47500191319.037148</v>
      </c>
      <c r="Q11" s="71">
        <f t="shared" si="7"/>
        <v>41686713634.004921</v>
      </c>
      <c r="R11" s="71">
        <f t="shared" si="7"/>
        <v>37060542406.949623</v>
      </c>
      <c r="S11" s="71">
        <f t="shared" si="7"/>
        <v>33227637281.642647</v>
      </c>
      <c r="T11" s="71">
        <f t="shared" si="7"/>
        <v>29793980666.979088</v>
      </c>
      <c r="U11" s="71">
        <f t="shared" si="7"/>
        <v>26586552152.320343</v>
      </c>
      <c r="V11" s="71">
        <f t="shared" si="7"/>
        <v>24954635817.291122</v>
      </c>
      <c r="W11" s="71">
        <f t="shared" si="7"/>
        <v>23500090118.613655</v>
      </c>
      <c r="X11" s="71">
        <f t="shared" si="7"/>
        <v>22395366286.856834</v>
      </c>
      <c r="Y11" s="71">
        <f t="shared" si="7"/>
        <v>1389747240147.0947</v>
      </c>
    </row>
    <row r="12" spans="1:26" s="75" customFormat="1" ht="24.6" customHeight="1" x14ac:dyDescent="0.25">
      <c r="A12" s="102"/>
      <c r="B12" s="72"/>
      <c r="C12" s="72"/>
      <c r="D12" s="72"/>
      <c r="E12" s="72"/>
      <c r="F12" s="73"/>
      <c r="G12" s="74"/>
      <c r="H12" s="73"/>
      <c r="I12" s="73"/>
      <c r="J12" s="73"/>
      <c r="K12" s="73"/>
      <c r="L12" s="73"/>
      <c r="M12" s="73"/>
      <c r="N12" s="73"/>
      <c r="O12" s="73"/>
      <c r="P12" s="73"/>
      <c r="Q12" s="73"/>
      <c r="R12" s="73"/>
      <c r="S12" s="73"/>
      <c r="T12" s="73"/>
      <c r="U12" s="73"/>
      <c r="V12" s="73"/>
      <c r="W12" s="73"/>
      <c r="X12" s="73"/>
      <c r="Y12" s="73"/>
      <c r="Z12" s="73"/>
    </row>
    <row r="14" spans="1:26" s="102" customFormat="1" ht="14.45" customHeight="1" x14ac:dyDescent="0.25">
      <c r="B14" s="850" t="str">
        <f>Portafolio_Cadena_Maíz!D14</f>
        <v>2.1. Fortalecimiento de la extensión agrícola y asistencia técnica a los productores del sistema tradicional.</v>
      </c>
      <c r="C14" s="851"/>
      <c r="D14" s="851"/>
      <c r="E14" s="851"/>
      <c r="F14" s="851"/>
      <c r="G14" s="851"/>
      <c r="H14" s="851"/>
      <c r="I14" s="658"/>
      <c r="X14" s="77"/>
    </row>
    <row r="15" spans="1:26" s="102" customFormat="1" ht="14.45" customHeight="1" x14ac:dyDescent="0.25">
      <c r="B15" s="852"/>
      <c r="C15" s="852"/>
      <c r="D15" s="852"/>
      <c r="E15" s="852"/>
      <c r="F15" s="852"/>
      <c r="G15" s="852"/>
      <c r="H15" s="852"/>
      <c r="I15" s="658"/>
      <c r="X15" s="77"/>
    </row>
    <row r="16" spans="1:26" s="102" customFormat="1" ht="27" customHeight="1" x14ac:dyDescent="0.25">
      <c r="B16" s="854" t="str">
        <f>Portafolio_Cadena_Maíz!H14</f>
        <v>2.1.1. Priorizar y seleccionar productores que requieren asistencia técnica básica de acuerdo con la caracterización a nivel subregional de la actividad 9.4.3.</v>
      </c>
      <c r="C16" s="855"/>
      <c r="D16" s="855"/>
      <c r="E16" s="855"/>
      <c r="F16" s="855"/>
      <c r="G16" s="855"/>
      <c r="H16" s="855"/>
      <c r="I16" s="658"/>
      <c r="X16" s="77"/>
    </row>
    <row r="17" spans="1:24" s="102" customFormat="1" ht="14.45" customHeight="1" x14ac:dyDescent="0.25">
      <c r="B17" s="854" t="str">
        <f>Portafolio_Cadena_Maíz!H15</f>
        <v>2.1.2. Realizar acompañamiento técnico y financiero a los productores seleccionados, para fomentar el uso de semillas híbridas, con alto potencial de rendimiento, calidad de grano, adaptadas a las condiciones agroecológicas de cada región, y para escalar su uso.</v>
      </c>
      <c r="C17" s="854"/>
      <c r="D17" s="854"/>
      <c r="E17" s="854"/>
      <c r="F17" s="854"/>
      <c r="G17" s="854"/>
      <c r="H17" s="854"/>
      <c r="I17" s="658"/>
      <c r="X17" s="77"/>
    </row>
    <row r="18" spans="1:24" s="102" customFormat="1" ht="33.6" customHeight="1" x14ac:dyDescent="0.25">
      <c r="B18" s="854" t="str">
        <f>Portafolio_Cadena_Maíz!H16</f>
        <v>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v>
      </c>
      <c r="C18" s="854"/>
      <c r="D18" s="854"/>
      <c r="E18" s="854"/>
      <c r="F18" s="854"/>
      <c r="G18" s="854"/>
      <c r="H18" s="854"/>
      <c r="I18" s="658"/>
      <c r="X18" s="77"/>
    </row>
    <row r="19" spans="1:24" s="102" customFormat="1" ht="34.5" customHeight="1" x14ac:dyDescent="0.25">
      <c r="B19" s="854" t="str">
        <f>Portafolio_Cadena_Maíz!H17</f>
        <v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v>
      </c>
      <c r="C19" s="854"/>
      <c r="D19" s="854"/>
      <c r="E19" s="854"/>
      <c r="F19" s="854"/>
      <c r="G19" s="854"/>
      <c r="H19" s="854"/>
      <c r="I19" s="658"/>
      <c r="X19" s="77"/>
    </row>
    <row r="20" spans="1:24" s="102" customFormat="1" ht="22.5" customHeight="1" x14ac:dyDescent="0.25">
      <c r="B20" s="854" t="str">
        <f>Portafolio_Cadena_Maíz!H18</f>
        <v>2.1.5. Promover la educación financiera para fortalecer la planificación y administración de la unidad productiva y mejorar el acceso y uso de los servicios financieros existentes.</v>
      </c>
      <c r="C20" s="854"/>
      <c r="D20" s="854"/>
      <c r="E20" s="854"/>
      <c r="F20" s="854"/>
      <c r="G20" s="854"/>
      <c r="H20" s="854"/>
      <c r="I20" s="658"/>
      <c r="X20" s="77"/>
    </row>
    <row r="21" spans="1:24" s="102" customFormat="1" ht="32.1" customHeight="1" x14ac:dyDescent="0.25">
      <c r="B21" s="854" t="str">
        <f>Portafolio_Cadena_Maíz!H19</f>
        <v>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v>
      </c>
      <c r="C21" s="854"/>
      <c r="D21" s="854"/>
      <c r="E21" s="854"/>
      <c r="F21" s="854"/>
      <c r="G21" s="854"/>
      <c r="H21" s="854"/>
      <c r="I21" s="658"/>
      <c r="X21" s="77"/>
    </row>
    <row r="22" spans="1:24" s="102" customFormat="1" ht="18" customHeight="1" x14ac:dyDescent="0.25">
      <c r="B22" s="854" t="str">
        <f>Portafolio_Cadena_Maíz!H20</f>
        <v xml:space="preserve">2.1.7. Implementar un mecanismo de monitoreo del nivel de adopción de tecnologías y su impacto en el aumento de los rendimientos en el cultivo de maíz tradicional. </v>
      </c>
      <c r="C22" s="854"/>
      <c r="D22" s="854"/>
      <c r="E22" s="854"/>
      <c r="F22" s="854"/>
      <c r="G22" s="854"/>
      <c r="H22" s="854"/>
      <c r="I22" s="658"/>
      <c r="X22" s="77"/>
    </row>
    <row r="23" spans="1:24" s="102" customFormat="1" ht="18" customHeight="1" x14ac:dyDescent="0.25">
      <c r="B23" s="659"/>
      <c r="C23" s="660"/>
      <c r="D23" s="660"/>
      <c r="E23" s="660"/>
      <c r="F23" s="660"/>
      <c r="G23" s="660"/>
      <c r="H23" s="660"/>
      <c r="I23" s="658"/>
      <c r="X23" s="77"/>
    </row>
    <row r="24" spans="1:24" s="102" customFormat="1" ht="15" x14ac:dyDescent="0.25">
      <c r="B24" s="659"/>
      <c r="C24" s="660"/>
      <c r="D24" s="660"/>
      <c r="E24" s="660"/>
      <c r="F24" s="660"/>
      <c r="G24" s="660"/>
      <c r="H24" s="660"/>
      <c r="I24" s="658"/>
      <c r="X24" s="77"/>
    </row>
    <row r="25" spans="1:24" ht="15" x14ac:dyDescent="0.25">
      <c r="B25" s="858" t="s">
        <v>595</v>
      </c>
      <c r="C25" s="859"/>
      <c r="D25" s="859"/>
      <c r="E25" s="859"/>
      <c r="F25" s="859"/>
      <c r="G25" s="859"/>
      <c r="H25" s="859"/>
    </row>
    <row r="26" spans="1:24" ht="15" x14ac:dyDescent="0.25">
      <c r="B26" s="78" t="s">
        <v>68</v>
      </c>
      <c r="C26" s="78" t="s">
        <v>58</v>
      </c>
      <c r="D26" s="78" t="s">
        <v>55</v>
      </c>
      <c r="E26" s="78" t="s">
        <v>54</v>
      </c>
      <c r="F26" s="78" t="s">
        <v>69</v>
      </c>
      <c r="G26" s="78" t="s">
        <v>70</v>
      </c>
      <c r="H26" s="78" t="s">
        <v>71</v>
      </c>
      <c r="J26" s="102"/>
    </row>
    <row r="27" spans="1:24" x14ac:dyDescent="0.2">
      <c r="B27" s="103" t="s">
        <v>201</v>
      </c>
      <c r="C27" s="119">
        <v>2</v>
      </c>
      <c r="D27" s="103" t="s">
        <v>179</v>
      </c>
      <c r="E27" s="108">
        <v>5032173</v>
      </c>
      <c r="F27" s="103"/>
      <c r="G27" s="103">
        <v>4</v>
      </c>
      <c r="H27" s="81">
        <f>C27*E27*G27</f>
        <v>40257384</v>
      </c>
      <c r="I27" s="44"/>
      <c r="J27" s="102"/>
    </row>
    <row r="28" spans="1:24" s="102" customFormat="1" x14ac:dyDescent="0.2">
      <c r="A28" s="92"/>
      <c r="B28" s="119" t="s">
        <v>72</v>
      </c>
      <c r="C28" s="119">
        <v>12</v>
      </c>
      <c r="D28" s="103" t="s">
        <v>73</v>
      </c>
      <c r="E28" s="45">
        <v>500000</v>
      </c>
      <c r="F28" s="103"/>
      <c r="G28" s="103"/>
      <c r="H28" s="81">
        <f>C28*E28</f>
        <v>6000000</v>
      </c>
      <c r="I28" s="44"/>
    </row>
    <row r="29" spans="1:24" s="102" customFormat="1" x14ac:dyDescent="0.2">
      <c r="B29" s="119" t="s">
        <v>74</v>
      </c>
      <c r="C29" s="119">
        <v>12</v>
      </c>
      <c r="D29" s="103" t="s">
        <v>73</v>
      </c>
      <c r="E29" s="45">
        <v>100000</v>
      </c>
      <c r="F29" s="103"/>
      <c r="G29" s="103"/>
      <c r="H29" s="81">
        <f>C29*E29</f>
        <v>1200000</v>
      </c>
      <c r="I29" s="44"/>
    </row>
    <row r="30" spans="1:24" s="102" customFormat="1" x14ac:dyDescent="0.2">
      <c r="B30" s="119" t="s">
        <v>90</v>
      </c>
      <c r="C30" s="119">
        <f>15*4</f>
        <v>60</v>
      </c>
      <c r="D30" s="103" t="s">
        <v>73</v>
      </c>
      <c r="E30" s="45">
        <v>2300000</v>
      </c>
      <c r="F30" s="103"/>
      <c r="G30" s="103">
        <v>4</v>
      </c>
      <c r="H30" s="81">
        <f>C30*E30*G30</f>
        <v>552000000</v>
      </c>
      <c r="I30" s="44"/>
    </row>
    <row r="31" spans="1:24" x14ac:dyDescent="0.2">
      <c r="B31" s="119" t="s">
        <v>91</v>
      </c>
      <c r="C31" s="119">
        <f>15*4</f>
        <v>60</v>
      </c>
      <c r="D31" s="103" t="s">
        <v>73</v>
      </c>
      <c r="E31" s="45">
        <v>460000</v>
      </c>
      <c r="F31" s="103"/>
      <c r="G31" s="103">
        <v>4</v>
      </c>
      <c r="H31" s="81">
        <f>C31*E31*G31</f>
        <v>110400000</v>
      </c>
      <c r="I31" s="100"/>
      <c r="J31" s="102"/>
    </row>
    <row r="32" spans="1:24" x14ac:dyDescent="0.2">
      <c r="B32" s="119" t="s">
        <v>202</v>
      </c>
      <c r="C32" s="119">
        <v>350</v>
      </c>
      <c r="D32" s="103" t="s">
        <v>73</v>
      </c>
      <c r="E32" s="45">
        <v>30000</v>
      </c>
      <c r="F32" s="103"/>
      <c r="G32" s="103"/>
      <c r="H32" s="81">
        <f>C32*E32</f>
        <v>10500000</v>
      </c>
      <c r="I32" s="100"/>
      <c r="J32" s="102"/>
    </row>
    <row r="33" spans="1:28" x14ac:dyDescent="0.2">
      <c r="B33" s="119" t="s">
        <v>76</v>
      </c>
      <c r="C33" s="119">
        <f>15*4</f>
        <v>60</v>
      </c>
      <c r="D33" s="103" t="s">
        <v>65</v>
      </c>
      <c r="E33" s="45">
        <v>6000000</v>
      </c>
      <c r="F33" s="97">
        <v>0.5</v>
      </c>
      <c r="G33" s="103"/>
      <c r="H33" s="81">
        <f t="shared" ref="H33:H38" si="8">C33*E33*F33</f>
        <v>180000000</v>
      </c>
      <c r="I33" s="100"/>
      <c r="J33" s="102"/>
    </row>
    <row r="34" spans="1:28" x14ac:dyDescent="0.2">
      <c r="B34" s="120" t="s">
        <v>77</v>
      </c>
      <c r="C34" s="120">
        <f>15*4</f>
        <v>60</v>
      </c>
      <c r="D34" s="103" t="s">
        <v>65</v>
      </c>
      <c r="E34" s="45">
        <v>1800000</v>
      </c>
      <c r="F34" s="97">
        <v>0.5</v>
      </c>
      <c r="G34" s="103"/>
      <c r="H34" s="81">
        <f t="shared" si="8"/>
        <v>54000000</v>
      </c>
      <c r="I34" s="100"/>
      <c r="J34" s="102"/>
    </row>
    <row r="35" spans="1:28" x14ac:dyDescent="0.2">
      <c r="B35" s="119" t="s">
        <v>162</v>
      </c>
      <c r="C35" s="120">
        <f>15*4</f>
        <v>60</v>
      </c>
      <c r="D35" s="103" t="s">
        <v>143</v>
      </c>
      <c r="E35" s="45">
        <v>1500000</v>
      </c>
      <c r="F35" s="97">
        <v>0.5</v>
      </c>
      <c r="G35" s="103"/>
      <c r="H35" s="81">
        <f t="shared" si="8"/>
        <v>45000000</v>
      </c>
      <c r="I35" s="100"/>
      <c r="J35" s="102"/>
    </row>
    <row r="36" spans="1:28" s="102" customFormat="1" x14ac:dyDescent="0.2">
      <c r="A36" s="92"/>
      <c r="B36" s="119" t="s">
        <v>174</v>
      </c>
      <c r="C36" s="119">
        <f>15*4</f>
        <v>60</v>
      </c>
      <c r="D36" s="103" t="s">
        <v>143</v>
      </c>
      <c r="E36" s="45">
        <v>450000</v>
      </c>
      <c r="F36" s="97">
        <v>0.5</v>
      </c>
      <c r="G36" s="103"/>
      <c r="H36" s="81">
        <f t="shared" si="8"/>
        <v>13500000</v>
      </c>
      <c r="I36" s="83"/>
    </row>
    <row r="37" spans="1:28" s="102" customFormat="1" x14ac:dyDescent="0.2">
      <c r="A37" s="92"/>
      <c r="B37" s="48" t="s">
        <v>175</v>
      </c>
      <c r="C37" s="119">
        <f>15*3</f>
        <v>45</v>
      </c>
      <c r="D37" s="103" t="s">
        <v>143</v>
      </c>
      <c r="E37" s="45">
        <v>3000000</v>
      </c>
      <c r="F37" s="97">
        <v>0.5</v>
      </c>
      <c r="G37" s="103"/>
      <c r="H37" s="81">
        <f t="shared" si="8"/>
        <v>67500000</v>
      </c>
      <c r="I37" s="84"/>
    </row>
    <row r="38" spans="1:28" s="102" customFormat="1" x14ac:dyDescent="0.2">
      <c r="B38" s="48" t="s">
        <v>176</v>
      </c>
      <c r="C38" s="119">
        <f>15*3</f>
        <v>45</v>
      </c>
      <c r="D38" s="102" t="s">
        <v>143</v>
      </c>
      <c r="E38" s="45">
        <v>900000</v>
      </c>
      <c r="F38" s="97">
        <v>0.5</v>
      </c>
      <c r="G38" s="103"/>
      <c r="H38" s="81">
        <f t="shared" si="8"/>
        <v>20250000</v>
      </c>
      <c r="I38" s="83"/>
    </row>
    <row r="39" spans="1:28" x14ac:dyDescent="0.2">
      <c r="B39" s="104" t="s">
        <v>298</v>
      </c>
      <c r="C39" s="117">
        <f>(39360*30%)/20</f>
        <v>590.4</v>
      </c>
      <c r="D39" s="104" t="s">
        <v>164</v>
      </c>
      <c r="E39" s="81">
        <v>1610000</v>
      </c>
      <c r="F39" s="200"/>
      <c r="G39" s="104"/>
      <c r="H39" s="81">
        <f>C39*E39</f>
        <v>950544000</v>
      </c>
      <c r="J39" s="102"/>
    </row>
    <row r="40" spans="1:28" x14ac:dyDescent="0.2">
      <c r="B40" s="103" t="s">
        <v>60</v>
      </c>
      <c r="C40" s="119">
        <v>15</v>
      </c>
      <c r="D40" s="103" t="s">
        <v>73</v>
      </c>
      <c r="E40" s="108">
        <v>14500000</v>
      </c>
      <c r="F40" s="103"/>
      <c r="G40" s="103"/>
      <c r="H40" s="81">
        <f>C40*E40</f>
        <v>217500000</v>
      </c>
      <c r="I40" s="44"/>
      <c r="J40" s="102"/>
    </row>
    <row r="41" spans="1:28" x14ac:dyDescent="0.2">
      <c r="B41" s="119" t="s">
        <v>79</v>
      </c>
      <c r="C41" s="119">
        <v>2</v>
      </c>
      <c r="D41" s="103" t="s">
        <v>145</v>
      </c>
      <c r="E41" s="108">
        <v>5661197</v>
      </c>
      <c r="F41" s="93"/>
      <c r="G41" s="103">
        <v>10</v>
      </c>
      <c r="H41" s="81">
        <f t="shared" ref="H41:H44" si="9">C41*E41</f>
        <v>11322394</v>
      </c>
      <c r="I41" s="44"/>
      <c r="J41" s="102"/>
    </row>
    <row r="42" spans="1:28" x14ac:dyDescent="0.2">
      <c r="B42" s="103" t="s">
        <v>158</v>
      </c>
      <c r="C42" s="103">
        <v>7</v>
      </c>
      <c r="D42" s="103" t="s">
        <v>179</v>
      </c>
      <c r="E42" s="45">
        <v>3931384</v>
      </c>
      <c r="F42" s="97"/>
      <c r="G42" s="103">
        <v>10</v>
      </c>
      <c r="H42" s="81">
        <f t="shared" si="9"/>
        <v>27519688</v>
      </c>
      <c r="I42" s="44"/>
      <c r="J42" s="102"/>
    </row>
    <row r="43" spans="1:28" x14ac:dyDescent="0.2">
      <c r="B43" s="103" t="s">
        <v>56</v>
      </c>
      <c r="C43" s="103">
        <v>7</v>
      </c>
      <c r="D43" s="103" t="s">
        <v>145</v>
      </c>
      <c r="E43" s="45">
        <v>1300000</v>
      </c>
      <c r="F43" s="97"/>
      <c r="G43" s="103">
        <v>10</v>
      </c>
      <c r="H43" s="81">
        <f t="shared" si="9"/>
        <v>9100000</v>
      </c>
      <c r="I43" s="44"/>
      <c r="J43" s="102"/>
    </row>
    <row r="44" spans="1:28" x14ac:dyDescent="0.2">
      <c r="B44" s="103" t="s">
        <v>178</v>
      </c>
      <c r="C44" s="103">
        <v>7</v>
      </c>
      <c r="D44" s="103" t="s">
        <v>180</v>
      </c>
      <c r="E44" s="45">
        <v>385000</v>
      </c>
      <c r="F44" s="97"/>
      <c r="G44" s="103">
        <v>10</v>
      </c>
      <c r="H44" s="81">
        <f t="shared" si="9"/>
        <v>2695000</v>
      </c>
      <c r="I44" s="44"/>
      <c r="J44" s="102"/>
    </row>
    <row r="45" spans="1:28" x14ac:dyDescent="0.2">
      <c r="B45" s="103" t="s">
        <v>188</v>
      </c>
      <c r="C45" s="103"/>
      <c r="D45" s="103"/>
      <c r="E45" s="45"/>
      <c r="F45" s="103"/>
      <c r="G45" s="103"/>
      <c r="H45" s="81" t="s">
        <v>67</v>
      </c>
      <c r="I45" s="44"/>
    </row>
    <row r="46" spans="1:28" ht="15" x14ac:dyDescent="0.25">
      <c r="B46" s="95" t="s">
        <v>187</v>
      </c>
      <c r="C46" s="103"/>
      <c r="D46" s="103"/>
      <c r="E46" s="108"/>
      <c r="F46" s="96"/>
      <c r="G46" s="103"/>
      <c r="H46" s="81"/>
      <c r="I46" s="98" t="s">
        <v>159</v>
      </c>
    </row>
    <row r="47" spans="1:28" ht="15" x14ac:dyDescent="0.25">
      <c r="B47" s="85" t="s">
        <v>301</v>
      </c>
      <c r="C47" s="86"/>
      <c r="D47" s="86"/>
      <c r="E47" s="87"/>
      <c r="F47" s="87"/>
      <c r="G47" s="86"/>
      <c r="H47" s="98">
        <f>SUM(H27:H46)</f>
        <v>2319288466</v>
      </c>
      <c r="I47" s="98">
        <f>H47/12</f>
        <v>193274038.83333334</v>
      </c>
    </row>
    <row r="48" spans="1:28" s="102" customFormat="1" ht="260.45" hidden="1" customHeight="1" x14ac:dyDescent="0.2">
      <c r="B48" s="99" t="s">
        <v>86</v>
      </c>
      <c r="C48" s="657"/>
      <c r="D48" s="657"/>
      <c r="E48" s="657"/>
      <c r="F48" s="657"/>
      <c r="G48" s="657"/>
      <c r="H48" s="657"/>
      <c r="J48" s="101"/>
      <c r="AB48" s="101"/>
    </row>
    <row r="49" spans="1:28" s="102" customFormat="1" ht="15" x14ac:dyDescent="0.25">
      <c r="B49" s="99"/>
      <c r="H49" s="78">
        <v>1</v>
      </c>
      <c r="I49" s="204">
        <v>2</v>
      </c>
      <c r="J49" s="78">
        <v>3</v>
      </c>
      <c r="K49" s="204">
        <v>4</v>
      </c>
      <c r="L49" s="78">
        <v>5</v>
      </c>
      <c r="M49" s="204">
        <v>6</v>
      </c>
      <c r="N49" s="78">
        <v>7</v>
      </c>
      <c r="O49" s="204">
        <v>8</v>
      </c>
      <c r="P49" s="78">
        <v>9</v>
      </c>
      <c r="Q49" s="204">
        <v>10</v>
      </c>
      <c r="R49" s="78">
        <v>11</v>
      </c>
      <c r="S49" s="204">
        <v>12</v>
      </c>
      <c r="T49" s="78">
        <v>13</v>
      </c>
      <c r="U49" s="204">
        <v>14</v>
      </c>
      <c r="V49" s="78">
        <v>15</v>
      </c>
      <c r="W49" s="204">
        <v>16</v>
      </c>
      <c r="X49" s="78">
        <v>17</v>
      </c>
      <c r="Y49" s="204">
        <v>18</v>
      </c>
      <c r="Z49" s="78">
        <v>19</v>
      </c>
      <c r="AA49" s="204">
        <v>20</v>
      </c>
      <c r="AB49" s="101"/>
    </row>
    <row r="50" spans="1:28" s="49" customFormat="1" ht="15" x14ac:dyDescent="0.25">
      <c r="B50" s="138" t="s">
        <v>300</v>
      </c>
      <c r="C50" s="102"/>
      <c r="D50" s="102"/>
      <c r="E50" s="102"/>
      <c r="F50" s="102"/>
      <c r="G50" s="102"/>
      <c r="I50" s="203">
        <f>'Categoria Costos Def'!G541</f>
        <v>3261267911.1111112</v>
      </c>
      <c r="J50" s="203">
        <f>'Categoria Costos Def'!G542</f>
        <v>3065591836.4444442</v>
      </c>
      <c r="K50" s="203">
        <f>'Categoria Costos Def'!G543</f>
        <v>2881656326.2577777</v>
      </c>
      <c r="L50" s="203">
        <f>'Categoria Costos Def'!G544</f>
        <v>2708756946.6823111</v>
      </c>
      <c r="M50" s="203">
        <f>'Categoria Costos Def'!G545</f>
        <v>2546231529.881372</v>
      </c>
      <c r="N50" s="203">
        <f>'Categoria Costos Def'!G546</f>
        <v>2393457638.0884895</v>
      </c>
      <c r="O50" s="203">
        <f>'Categoria Costos Def'!G547</f>
        <v>2249850179.8031807</v>
      </c>
      <c r="P50" s="203">
        <f>'Categoria Costos Def'!G548</f>
        <v>2114859169.0149899</v>
      </c>
      <c r="Q50" s="203">
        <f>'Categoria Costos Def'!G549</f>
        <v>1987967618.8740902</v>
      </c>
      <c r="R50" s="203">
        <f>'Categoria Costos Def'!G550</f>
        <v>1868689561.7416451</v>
      </c>
      <c r="S50" s="203">
        <f>'Categoria Costos Def'!G551</f>
        <v>1756568188.0371463</v>
      </c>
      <c r="T50" s="203">
        <f>'Categoria Costos Def'!G552</f>
        <v>1651174096.7549176</v>
      </c>
      <c r="U50" s="203">
        <f>'Categoria Costos Def'!G553</f>
        <v>1552103650.9496226</v>
      </c>
      <c r="V50" s="203">
        <f>'Categoria Costos Def'!G554</f>
        <v>1458977431.8926454</v>
      </c>
      <c r="W50" s="203">
        <f>'Categoria Costos Def'!G555</f>
        <v>1371438785.9790864</v>
      </c>
      <c r="X50" s="203">
        <f>'Categoria Costos Def'!G556</f>
        <v>1289152458.8203416</v>
      </c>
      <c r="Y50" s="203">
        <f>'Categoria Costos Def'!G557</f>
        <v>1211803311.291121</v>
      </c>
      <c r="Z50" s="203">
        <f>'Categoria Costos Def'!G558</f>
        <v>1139095112.6136537</v>
      </c>
      <c r="AA50" s="203">
        <f>'Categoria Costos Def'!G559</f>
        <v>1070749405.8568345</v>
      </c>
      <c r="AB50" s="101"/>
    </row>
    <row r="51" spans="1:28" s="102" customFormat="1" ht="15" x14ac:dyDescent="0.25">
      <c r="B51" s="138" t="s">
        <v>299</v>
      </c>
      <c r="I51" s="202">
        <f>I50+$H$47</f>
        <v>5580556377.1111107</v>
      </c>
      <c r="J51" s="202">
        <f t="shared" ref="J51:AA51" si="10">J50+$H$47</f>
        <v>5384880302.4444447</v>
      </c>
      <c r="K51" s="202">
        <f t="shared" si="10"/>
        <v>5200944792.2577782</v>
      </c>
      <c r="L51" s="202">
        <f t="shared" si="10"/>
        <v>5028045412.6823111</v>
      </c>
      <c r="M51" s="202">
        <f t="shared" si="10"/>
        <v>4865519995.8813725</v>
      </c>
      <c r="N51" s="202">
        <f t="shared" si="10"/>
        <v>4712746104.0884895</v>
      </c>
      <c r="O51" s="202">
        <f t="shared" si="10"/>
        <v>4569138645.8031807</v>
      </c>
      <c r="P51" s="202">
        <f t="shared" si="10"/>
        <v>4434147635.0149899</v>
      </c>
      <c r="Q51" s="202">
        <f t="shared" si="10"/>
        <v>4307256084.8740902</v>
      </c>
      <c r="R51" s="202">
        <f t="shared" si="10"/>
        <v>4187978027.7416449</v>
      </c>
      <c r="S51" s="202">
        <f t="shared" si="10"/>
        <v>4075856654.0371466</v>
      </c>
      <c r="T51" s="202">
        <f t="shared" si="10"/>
        <v>3970462562.7549176</v>
      </c>
      <c r="U51" s="202">
        <f t="shared" si="10"/>
        <v>3871392116.9496226</v>
      </c>
      <c r="V51" s="202">
        <f t="shared" si="10"/>
        <v>3778265897.8926454</v>
      </c>
      <c r="W51" s="202">
        <f t="shared" si="10"/>
        <v>3690727251.9790864</v>
      </c>
      <c r="X51" s="202">
        <f t="shared" si="10"/>
        <v>3608440924.8203416</v>
      </c>
      <c r="Y51" s="202">
        <f t="shared" si="10"/>
        <v>3531091777.291121</v>
      </c>
      <c r="Z51" s="202">
        <f t="shared" si="10"/>
        <v>3458383578.6136537</v>
      </c>
      <c r="AA51" s="202">
        <f t="shared" si="10"/>
        <v>3390037871.8568344</v>
      </c>
      <c r="AB51" s="101"/>
    </row>
    <row r="52" spans="1:28" ht="174.95" customHeight="1" x14ac:dyDescent="0.2">
      <c r="A52" s="106"/>
      <c r="B52" s="324" t="s">
        <v>392</v>
      </c>
      <c r="C52" s="102"/>
      <c r="D52" s="102"/>
      <c r="E52" s="102"/>
      <c r="F52" s="77"/>
      <c r="G52" s="77"/>
      <c r="H52" s="137"/>
      <c r="I52" s="52"/>
      <c r="J52" s="52"/>
      <c r="K52" s="52"/>
      <c r="L52" s="52"/>
      <c r="M52" s="52"/>
      <c r="N52" s="52"/>
      <c r="O52" s="52"/>
      <c r="P52" s="52"/>
      <c r="Q52" s="52"/>
      <c r="R52" s="52"/>
      <c r="S52" s="52"/>
      <c r="T52" s="52"/>
      <c r="U52" s="52"/>
      <c r="V52" s="52"/>
      <c r="W52" s="52"/>
      <c r="X52" s="52"/>
      <c r="Y52" s="52"/>
      <c r="Z52" s="52"/>
      <c r="AA52" s="52"/>
    </row>
    <row r="53" spans="1:28" ht="14.1" customHeight="1" x14ac:dyDescent="0.2">
      <c r="A53" s="106"/>
      <c r="B53" s="324"/>
      <c r="C53" s="102"/>
      <c r="D53" s="102"/>
      <c r="E53" s="102"/>
      <c r="F53" s="77"/>
      <c r="G53" s="77"/>
      <c r="H53" s="137"/>
      <c r="I53" s="52"/>
      <c r="J53" s="52"/>
      <c r="K53" s="52"/>
      <c r="L53" s="52"/>
      <c r="M53" s="52"/>
      <c r="N53" s="52"/>
      <c r="O53" s="52"/>
      <c r="P53" s="52"/>
      <c r="Q53" s="52"/>
      <c r="R53" s="52"/>
      <c r="S53" s="52"/>
      <c r="T53" s="52"/>
      <c r="U53" s="52"/>
      <c r="V53" s="52"/>
      <c r="W53" s="52"/>
      <c r="X53" s="52"/>
      <c r="Y53" s="52"/>
      <c r="Z53" s="52"/>
      <c r="AA53" s="52"/>
    </row>
    <row r="54" spans="1:28" ht="29.1" customHeight="1" x14ac:dyDescent="0.25">
      <c r="A54" s="106"/>
      <c r="B54" s="850" t="str">
        <f>B9</f>
        <v>2.2. Implementación efectiva de asistencia técnica profesional, en sistemas tecnificados de maíz.</v>
      </c>
      <c r="C54" s="851"/>
      <c r="D54" s="851"/>
      <c r="E54" s="851"/>
      <c r="F54" s="851"/>
      <c r="G54" s="851"/>
      <c r="H54" s="851"/>
      <c r="I54" s="52"/>
      <c r="J54" s="52"/>
      <c r="K54" s="52"/>
      <c r="L54" s="52"/>
      <c r="M54" s="52"/>
      <c r="N54" s="52"/>
      <c r="O54" s="52"/>
      <c r="P54" s="52"/>
      <c r="Q54" s="52"/>
      <c r="R54" s="52"/>
      <c r="S54" s="52"/>
      <c r="T54" s="52"/>
      <c r="U54" s="52"/>
      <c r="V54" s="52"/>
      <c r="W54" s="52"/>
      <c r="X54" s="52"/>
      <c r="Y54" s="52"/>
      <c r="Z54" s="52"/>
      <c r="AA54" s="52"/>
    </row>
    <row r="55" spans="1:28" s="102" customFormat="1" ht="27" customHeight="1" x14ac:dyDescent="0.25">
      <c r="B55" s="854" t="str">
        <f>Portafolio_Cadena_Maíz!H21</f>
        <v>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v>
      </c>
      <c r="C55" s="855"/>
      <c r="D55" s="855"/>
      <c r="E55" s="855"/>
      <c r="F55" s="855"/>
      <c r="G55" s="855"/>
      <c r="H55" s="855"/>
      <c r="I55" s="658"/>
      <c r="X55" s="77"/>
    </row>
    <row r="56" spans="1:28" s="102" customFormat="1" ht="36.950000000000003" customHeight="1" x14ac:dyDescent="0.25">
      <c r="B56" s="854" t="str">
        <f>Portafolio_Cadena_Maíz!H22</f>
        <v>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v>
      </c>
      <c r="C56" s="855"/>
      <c r="D56" s="855"/>
      <c r="E56" s="855"/>
      <c r="F56" s="855"/>
      <c r="G56" s="855"/>
      <c r="H56" s="855"/>
      <c r="I56" s="658"/>
      <c r="X56" s="77"/>
    </row>
    <row r="57" spans="1:28" s="102" customFormat="1" ht="33.6" customHeight="1" x14ac:dyDescent="0.25">
      <c r="B57" s="854" t="str">
        <f>Portafolio_Cadena_Maíz!H23</f>
        <v>2.2.3. Brindar acompañamiento técnico a los productores tecnificados, para facilitar el acceso a semillas con alto grado de mejoramiento genético (híbridos, OGM, y aquellas desarrolladas con nuevas tecnologías), adaptadas a las condiciones agroecológicas de las diferentes regiones, tolerantes o resistentes a  plagas y enfermedades,  de mayor potencial de productividad, y con los tipos de grano demandados en el mercado.</v>
      </c>
      <c r="C57" s="855"/>
      <c r="D57" s="855"/>
      <c r="E57" s="855"/>
      <c r="F57" s="855"/>
      <c r="G57" s="855"/>
      <c r="H57" s="855"/>
      <c r="I57" s="658"/>
      <c r="X57" s="77"/>
    </row>
    <row r="58" spans="1:28" s="102" customFormat="1" ht="48.6" customHeight="1" x14ac:dyDescent="0.25">
      <c r="B58" s="854" t="str">
        <f>Portafolio_Cadena_Maíz!H24</f>
        <v>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v>
      </c>
      <c r="C58" s="855"/>
      <c r="D58" s="855"/>
      <c r="E58" s="855"/>
      <c r="F58" s="855"/>
      <c r="G58" s="855"/>
      <c r="H58" s="855"/>
      <c r="I58" s="658"/>
      <c r="X58" s="77"/>
    </row>
    <row r="59" spans="1:28" s="102" customFormat="1" ht="38.450000000000003" customHeight="1" x14ac:dyDescent="0.25">
      <c r="B59" s="854" t="str">
        <f>Portafolio_Cadena_Maíz!H25</f>
        <v>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v>
      </c>
      <c r="C59" s="855"/>
      <c r="D59" s="855"/>
      <c r="E59" s="855"/>
      <c r="F59" s="855"/>
      <c r="G59" s="855"/>
      <c r="H59" s="855"/>
      <c r="I59" s="658"/>
      <c r="X59" s="77"/>
    </row>
    <row r="60" spans="1:28" s="102" customFormat="1" ht="32.1" customHeight="1" x14ac:dyDescent="0.25">
      <c r="B60" s="854" t="str">
        <f>Portafolio_Cadena_Maíz!H26</f>
        <v>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v>
      </c>
      <c r="C60" s="855"/>
      <c r="D60" s="855"/>
      <c r="E60" s="855"/>
      <c r="F60" s="855"/>
      <c r="G60" s="855"/>
      <c r="H60" s="855"/>
      <c r="I60" s="658"/>
      <c r="X60" s="77"/>
    </row>
    <row r="61" spans="1:28" s="102" customFormat="1" ht="18" customHeight="1" x14ac:dyDescent="0.25">
      <c r="B61" s="854" t="str">
        <f>Portafolio_Cadena_Maíz!H27</f>
        <v>2.2.7. Implementar un mecanismo de monitoreo del nivel de adopción e impacto en la productividad, la escala, la competitividad y la empresarización, de las prácticas de manejo, las tecnologías y modelos de gestión empresarial aplicados por los productores, en las regiones maiceras.</v>
      </c>
      <c r="C61" s="855"/>
      <c r="D61" s="855"/>
      <c r="E61" s="855"/>
      <c r="F61" s="855"/>
      <c r="G61" s="855"/>
      <c r="H61" s="855"/>
      <c r="I61" s="658"/>
      <c r="X61" s="77"/>
    </row>
    <row r="62" spans="1:28" ht="17.45" customHeight="1" x14ac:dyDescent="0.2">
      <c r="A62" s="106"/>
      <c r="B62" s="324"/>
      <c r="C62" s="102"/>
      <c r="D62" s="102"/>
      <c r="E62" s="102"/>
      <c r="F62" s="77"/>
      <c r="G62" s="77"/>
      <c r="H62" s="137"/>
      <c r="I62" s="52"/>
      <c r="J62" s="52"/>
      <c r="K62" s="52"/>
      <c r="L62" s="52"/>
      <c r="M62" s="52"/>
      <c r="N62" s="52"/>
      <c r="O62" s="52"/>
      <c r="P62" s="52"/>
      <c r="Q62" s="52"/>
      <c r="R62" s="52"/>
      <c r="S62" s="52"/>
      <c r="T62" s="52"/>
      <c r="U62" s="52"/>
      <c r="V62" s="52"/>
      <c r="W62" s="52"/>
      <c r="X62" s="52"/>
      <c r="Y62" s="52"/>
      <c r="Z62" s="52"/>
      <c r="AA62" s="52"/>
    </row>
    <row r="63" spans="1:28" s="102" customFormat="1" ht="14.45" customHeight="1" x14ac:dyDescent="0.25">
      <c r="B63" s="857"/>
      <c r="C63" s="857"/>
      <c r="D63" s="857"/>
      <c r="E63" s="857"/>
      <c r="F63" s="857"/>
      <c r="G63" s="857"/>
      <c r="H63" s="857"/>
      <c r="I63" s="658"/>
      <c r="X63" s="77"/>
    </row>
    <row r="64" spans="1:28" s="102" customFormat="1" ht="14.45" customHeight="1" x14ac:dyDescent="0.25">
      <c r="B64" s="857" t="s">
        <v>595</v>
      </c>
      <c r="C64" s="857"/>
      <c r="D64" s="857"/>
      <c r="E64" s="857"/>
      <c r="F64" s="857"/>
      <c r="G64" s="857"/>
      <c r="H64" s="857"/>
      <c r="I64" s="658"/>
      <c r="X64" s="77"/>
    </row>
    <row r="65" spans="2:24" ht="15" x14ac:dyDescent="0.25">
      <c r="B65" s="400" t="s">
        <v>68</v>
      </c>
      <c r="C65" s="400" t="s">
        <v>58</v>
      </c>
      <c r="D65" s="400" t="s">
        <v>55</v>
      </c>
      <c r="E65" s="400" t="s">
        <v>54</v>
      </c>
      <c r="F65" s="401" t="s">
        <v>96</v>
      </c>
      <c r="G65" s="400" t="s">
        <v>218</v>
      </c>
      <c r="H65" s="400" t="s">
        <v>71</v>
      </c>
      <c r="X65" s="80"/>
    </row>
    <row r="66" spans="2:24" x14ac:dyDescent="0.2">
      <c r="B66" s="103" t="s">
        <v>72</v>
      </c>
      <c r="C66" s="103">
        <v>20</v>
      </c>
      <c r="D66" s="103" t="s">
        <v>73</v>
      </c>
      <c r="E66" s="45">
        <v>500000</v>
      </c>
      <c r="F66" s="103"/>
      <c r="G66" s="103"/>
      <c r="H66" s="139">
        <f>C66*E66</f>
        <v>10000000</v>
      </c>
    </row>
    <row r="67" spans="2:24" x14ac:dyDescent="0.2">
      <c r="B67" s="104" t="s">
        <v>74</v>
      </c>
      <c r="C67" s="104">
        <v>20</v>
      </c>
      <c r="D67" s="104" t="s">
        <v>73</v>
      </c>
      <c r="E67" s="81">
        <v>100000</v>
      </c>
      <c r="F67" s="104"/>
      <c r="G67" s="104"/>
      <c r="H67" s="139">
        <f t="shared" ref="H67:H71" si="11">C67*E67</f>
        <v>2000000</v>
      </c>
    </row>
    <row r="68" spans="2:24" x14ac:dyDescent="0.2">
      <c r="B68" s="104" t="s">
        <v>90</v>
      </c>
      <c r="C68" s="104">
        <v>30</v>
      </c>
      <c r="D68" s="104" t="s">
        <v>73</v>
      </c>
      <c r="E68" s="81">
        <v>2300000</v>
      </c>
      <c r="F68" s="104"/>
      <c r="G68" s="104"/>
      <c r="H68" s="139">
        <f t="shared" si="11"/>
        <v>69000000</v>
      </c>
    </row>
    <row r="69" spans="2:24" x14ac:dyDescent="0.2">
      <c r="B69" s="104" t="s">
        <v>91</v>
      </c>
      <c r="C69" s="104">
        <v>30</v>
      </c>
      <c r="D69" s="104" t="s">
        <v>73</v>
      </c>
      <c r="E69" s="81">
        <v>460000</v>
      </c>
      <c r="F69" s="104"/>
      <c r="G69" s="104"/>
      <c r="H69" s="139">
        <f t="shared" si="11"/>
        <v>13800000</v>
      </c>
    </row>
    <row r="70" spans="2:24" ht="15.6" customHeight="1" x14ac:dyDescent="0.2">
      <c r="B70" s="104" t="s">
        <v>76</v>
      </c>
      <c r="C70" s="104">
        <v>10</v>
      </c>
      <c r="D70" s="104" t="s">
        <v>65</v>
      </c>
      <c r="E70" s="94">
        <v>6000000</v>
      </c>
      <c r="F70" s="104"/>
      <c r="G70" s="104"/>
      <c r="H70" s="139">
        <f t="shared" si="11"/>
        <v>60000000</v>
      </c>
    </row>
    <row r="71" spans="2:24" x14ac:dyDescent="0.2">
      <c r="B71" s="104" t="s">
        <v>77</v>
      </c>
      <c r="C71" s="104">
        <v>10</v>
      </c>
      <c r="D71" s="104" t="s">
        <v>65</v>
      </c>
      <c r="E71" s="94">
        <v>1800000</v>
      </c>
      <c r="F71" s="104"/>
      <c r="G71" s="104"/>
      <c r="H71" s="139">
        <f t="shared" si="11"/>
        <v>18000000</v>
      </c>
    </row>
    <row r="72" spans="2:24" x14ac:dyDescent="0.2">
      <c r="B72" s="104" t="s">
        <v>162</v>
      </c>
      <c r="C72" s="104">
        <v>10</v>
      </c>
      <c r="D72" s="104" t="s">
        <v>73</v>
      </c>
      <c r="E72" s="94">
        <v>1500000</v>
      </c>
      <c r="F72" s="200">
        <v>0.5</v>
      </c>
      <c r="G72" s="104"/>
      <c r="H72" s="139">
        <f>C72*E72*F72</f>
        <v>7500000</v>
      </c>
    </row>
    <row r="73" spans="2:24" x14ac:dyDescent="0.2">
      <c r="B73" s="104" t="s">
        <v>78</v>
      </c>
      <c r="C73" s="104">
        <v>10</v>
      </c>
      <c r="D73" s="104" t="s">
        <v>73</v>
      </c>
      <c r="E73" s="94">
        <v>450000</v>
      </c>
      <c r="F73" s="200">
        <v>0.5</v>
      </c>
      <c r="G73" s="104"/>
      <c r="H73" s="139">
        <f>C73*E73*F73</f>
        <v>2250000</v>
      </c>
    </row>
    <row r="74" spans="2:24" x14ac:dyDescent="0.2">
      <c r="B74" s="104" t="s">
        <v>150</v>
      </c>
      <c r="C74" s="104">
        <v>8</v>
      </c>
      <c r="D74" s="104" t="s">
        <v>94</v>
      </c>
      <c r="E74" s="81">
        <v>52200000</v>
      </c>
      <c r="F74" s="104"/>
      <c r="G74" s="104"/>
      <c r="H74" s="139">
        <f>C74*E74</f>
        <v>417600000</v>
      </c>
    </row>
    <row r="75" spans="2:24" x14ac:dyDescent="0.2">
      <c r="B75" s="104" t="s">
        <v>205</v>
      </c>
      <c r="C75" s="104">
        <v>8</v>
      </c>
      <c r="D75" s="104" t="s">
        <v>99</v>
      </c>
      <c r="E75" s="81">
        <v>20000000</v>
      </c>
      <c r="F75" s="104"/>
      <c r="G75" s="104"/>
      <c r="H75" s="139">
        <f t="shared" ref="H75:H81" si="12">C75*E75</f>
        <v>160000000</v>
      </c>
    </row>
    <row r="76" spans="2:24" x14ac:dyDescent="0.2">
      <c r="B76" s="104" t="s">
        <v>93</v>
      </c>
      <c r="C76" s="104">
        <v>8</v>
      </c>
      <c r="D76" s="104" t="s">
        <v>211</v>
      </c>
      <c r="E76" s="81">
        <v>18000000</v>
      </c>
      <c r="F76" s="104"/>
      <c r="G76" s="104"/>
      <c r="H76" s="139">
        <f t="shared" si="12"/>
        <v>144000000</v>
      </c>
    </row>
    <row r="77" spans="2:24" x14ac:dyDescent="0.2">
      <c r="B77" s="104" t="s">
        <v>206</v>
      </c>
      <c r="C77" s="104">
        <v>10</v>
      </c>
      <c r="D77" s="104" t="s">
        <v>207</v>
      </c>
      <c r="E77" s="81">
        <v>3270000</v>
      </c>
      <c r="F77" s="104"/>
      <c r="G77" s="104"/>
      <c r="H77" s="139">
        <f t="shared" si="12"/>
        <v>32700000</v>
      </c>
    </row>
    <row r="78" spans="2:24" x14ac:dyDescent="0.2">
      <c r="B78" s="104" t="s">
        <v>172</v>
      </c>
      <c r="C78" s="104">
        <v>10</v>
      </c>
      <c r="D78" s="104" t="s">
        <v>73</v>
      </c>
      <c r="E78" s="81">
        <v>14500000</v>
      </c>
      <c r="F78" s="104"/>
      <c r="G78" s="104"/>
      <c r="H78" s="139">
        <f t="shared" si="12"/>
        <v>145000000</v>
      </c>
    </row>
    <row r="79" spans="2:24" x14ac:dyDescent="0.2">
      <c r="B79" s="104" t="s">
        <v>59</v>
      </c>
      <c r="C79" s="104">
        <v>10</v>
      </c>
      <c r="D79" s="104" t="s">
        <v>73</v>
      </c>
      <c r="E79" s="81">
        <v>5000000</v>
      </c>
      <c r="F79" s="104"/>
      <c r="G79" s="104"/>
      <c r="H79" s="139">
        <f t="shared" si="12"/>
        <v>50000000</v>
      </c>
    </row>
    <row r="80" spans="2:24" x14ac:dyDescent="0.2">
      <c r="B80" s="104" t="s">
        <v>212</v>
      </c>
      <c r="C80" s="104">
        <v>10</v>
      </c>
      <c r="D80" s="104" t="s">
        <v>73</v>
      </c>
      <c r="E80" s="81">
        <f>40000*100</f>
        <v>4000000</v>
      </c>
      <c r="F80" s="104"/>
      <c r="G80" s="104"/>
      <c r="H80" s="139">
        <f t="shared" si="12"/>
        <v>40000000</v>
      </c>
    </row>
    <row r="81" spans="2:28" x14ac:dyDescent="0.2">
      <c r="B81" s="104" t="s">
        <v>307</v>
      </c>
      <c r="C81" s="104">
        <v>20</v>
      </c>
      <c r="D81" s="104" t="s">
        <v>73</v>
      </c>
      <c r="E81" s="94">
        <v>5170000</v>
      </c>
      <c r="F81" s="104"/>
      <c r="G81" s="104"/>
      <c r="H81" s="139">
        <f t="shared" si="12"/>
        <v>103400000</v>
      </c>
    </row>
    <row r="82" spans="2:28" x14ac:dyDescent="0.2">
      <c r="B82" s="104" t="s">
        <v>208</v>
      </c>
      <c r="C82" s="104">
        <v>2</v>
      </c>
      <c r="D82" s="104" t="s">
        <v>209</v>
      </c>
      <c r="E82" s="81">
        <v>43000000</v>
      </c>
      <c r="F82" s="200">
        <v>0.5</v>
      </c>
      <c r="G82" s="104"/>
      <c r="H82" s="139">
        <f>C82*E82*F82</f>
        <v>43000000</v>
      </c>
      <c r="I82" s="83"/>
    </row>
    <row r="83" spans="2:28" x14ac:dyDescent="0.2">
      <c r="B83" s="104" t="s">
        <v>389</v>
      </c>
      <c r="C83" s="389">
        <f>200*20</f>
        <v>4000</v>
      </c>
      <c r="D83" s="104" t="s">
        <v>348</v>
      </c>
      <c r="E83" s="391">
        <v>334640.25000000006</v>
      </c>
      <c r="F83" s="104"/>
      <c r="G83" s="104"/>
      <c r="H83" s="139">
        <f t="shared" ref="H83" si="13">C83*E83</f>
        <v>1338561000.0000002</v>
      </c>
    </row>
    <row r="84" spans="2:28" x14ac:dyDescent="0.2">
      <c r="B84" s="104" t="s">
        <v>210</v>
      </c>
      <c r="C84" s="389">
        <v>4</v>
      </c>
      <c r="D84" s="104" t="s">
        <v>102</v>
      </c>
      <c r="E84" s="391">
        <v>7862772</v>
      </c>
      <c r="F84" s="200"/>
      <c r="G84" s="104">
        <v>10</v>
      </c>
      <c r="H84" s="139">
        <f>C84*E84*G84</f>
        <v>314510880</v>
      </c>
      <c r="I84" s="83"/>
    </row>
    <row r="85" spans="2:28" x14ac:dyDescent="0.2">
      <c r="B85" s="104" t="s">
        <v>214</v>
      </c>
      <c r="C85" s="389">
        <v>5</v>
      </c>
      <c r="D85" s="104" t="s">
        <v>102</v>
      </c>
      <c r="E85" s="391">
        <v>12894949</v>
      </c>
      <c r="F85" s="104"/>
      <c r="G85" s="104">
        <v>12</v>
      </c>
      <c r="H85" s="139">
        <f>C85*E85*G85</f>
        <v>773696940</v>
      </c>
      <c r="I85" s="83"/>
    </row>
    <row r="86" spans="2:28" ht="15.6" customHeight="1" x14ac:dyDescent="0.25">
      <c r="B86" s="104" t="s">
        <v>204</v>
      </c>
      <c r="C86" s="389">
        <v>1</v>
      </c>
      <c r="D86" s="104" t="s">
        <v>390</v>
      </c>
      <c r="E86" s="391">
        <v>5381852</v>
      </c>
      <c r="F86" s="104"/>
      <c r="G86" s="104"/>
      <c r="H86" s="139">
        <f>C86*E86</f>
        <v>5381852</v>
      </c>
      <c r="I86" s="114" t="s">
        <v>592</v>
      </c>
    </row>
    <row r="87" spans="2:28" ht="15" x14ac:dyDescent="0.25">
      <c r="B87" s="104" t="s">
        <v>213</v>
      </c>
      <c r="C87" s="389"/>
      <c r="D87" s="104"/>
      <c r="E87" s="387"/>
      <c r="F87" s="104"/>
      <c r="G87" s="104"/>
      <c r="H87" s="139" t="s">
        <v>67</v>
      </c>
      <c r="I87" s="114">
        <f>H88/12</f>
        <v>312533389.33333331</v>
      </c>
    </row>
    <row r="88" spans="2:28" ht="15" x14ac:dyDescent="0.25">
      <c r="B88" s="314" t="s">
        <v>216</v>
      </c>
      <c r="C88" s="390"/>
      <c r="D88" s="142"/>
      <c r="E88" s="388"/>
      <c r="F88" s="142"/>
      <c r="G88" s="142"/>
      <c r="H88" s="346">
        <f>SUM(H66:H86)</f>
        <v>3750400672</v>
      </c>
      <c r="I88" s="379">
        <v>2</v>
      </c>
      <c r="J88" s="379">
        <v>3</v>
      </c>
      <c r="K88" s="379">
        <v>4</v>
      </c>
      <c r="L88" s="379">
        <v>5</v>
      </c>
      <c r="M88" s="379">
        <v>6</v>
      </c>
      <c r="N88" s="379">
        <v>7</v>
      </c>
      <c r="O88" s="379">
        <v>8</v>
      </c>
      <c r="P88" s="379">
        <v>9</v>
      </c>
      <c r="Q88" s="379">
        <v>10</v>
      </c>
      <c r="R88" s="379">
        <v>11</v>
      </c>
      <c r="S88" s="379">
        <v>12</v>
      </c>
      <c r="T88" s="379">
        <v>13</v>
      </c>
      <c r="U88" s="379">
        <v>14</v>
      </c>
      <c r="V88" s="379">
        <v>15</v>
      </c>
      <c r="W88" s="379">
        <v>16</v>
      </c>
      <c r="X88" s="379">
        <v>17</v>
      </c>
      <c r="Y88" s="379">
        <v>18</v>
      </c>
      <c r="Z88" s="379">
        <v>19</v>
      </c>
      <c r="AA88" s="379">
        <v>20</v>
      </c>
    </row>
    <row r="89" spans="2:28" ht="15" x14ac:dyDescent="0.25">
      <c r="B89" s="382" t="s">
        <v>609</v>
      </c>
      <c r="C89" s="140"/>
      <c r="D89" s="382"/>
      <c r="E89" s="140"/>
      <c r="F89" s="140"/>
      <c r="G89" s="140"/>
      <c r="H89" s="140"/>
      <c r="I89" s="385">
        <v>4500000000</v>
      </c>
      <c r="J89" s="385">
        <v>5175000000</v>
      </c>
      <c r="K89" s="385">
        <v>6000000000</v>
      </c>
      <c r="L89" s="385">
        <v>6900000000</v>
      </c>
      <c r="M89" s="385">
        <v>7950000000</v>
      </c>
      <c r="N89" s="385">
        <v>9450000000</v>
      </c>
      <c r="O89" s="385">
        <v>11400000000</v>
      </c>
      <c r="P89" s="385">
        <v>13650000000</v>
      </c>
      <c r="Q89" s="385">
        <v>16350000000</v>
      </c>
      <c r="R89" s="385">
        <v>13650000000</v>
      </c>
      <c r="AB89" s="385">
        <f>SUM(I89:AA89)</f>
        <v>95025000000</v>
      </c>
    </row>
    <row r="90" spans="2:28" ht="15" x14ac:dyDescent="0.25">
      <c r="B90" s="320" t="s">
        <v>610</v>
      </c>
      <c r="C90" s="140"/>
      <c r="D90" s="320" t="s">
        <v>593</v>
      </c>
      <c r="E90" s="140"/>
      <c r="F90" s="140"/>
      <c r="G90" s="140"/>
      <c r="H90" s="140"/>
      <c r="S90" s="380">
        <v>4106250000</v>
      </c>
      <c r="T90" s="380">
        <v>3290625000</v>
      </c>
      <c r="U90" s="380">
        <v>2643750000</v>
      </c>
      <c r="V90" s="380">
        <v>2109375000</v>
      </c>
      <c r="W90" s="380">
        <v>1631250000</v>
      </c>
      <c r="X90" s="380">
        <v>1350000000</v>
      </c>
      <c r="Y90" s="380">
        <v>1096875000</v>
      </c>
      <c r="Z90" s="380">
        <v>871875000</v>
      </c>
      <c r="AA90" s="380">
        <v>703125000</v>
      </c>
      <c r="AB90" s="380">
        <f t="shared" ref="AB90:AB94" si="14">SUM(I90:AA90)</f>
        <v>17803125000</v>
      </c>
    </row>
    <row r="91" spans="2:28" ht="15" x14ac:dyDescent="0.25">
      <c r="B91" s="381" t="s">
        <v>588</v>
      </c>
      <c r="C91" s="140"/>
      <c r="D91" s="381" t="s">
        <v>593</v>
      </c>
      <c r="E91" s="140"/>
      <c r="F91" s="140"/>
      <c r="G91" s="140"/>
      <c r="H91" s="140"/>
      <c r="I91" s="384">
        <v>5784187500</v>
      </c>
      <c r="J91" s="384">
        <v>6651815625</v>
      </c>
      <c r="K91" s="384">
        <v>7712250000</v>
      </c>
      <c r="L91" s="384">
        <v>17738175000</v>
      </c>
      <c r="M91" s="384">
        <v>20437462500</v>
      </c>
      <c r="N91" s="384">
        <v>36440381250</v>
      </c>
      <c r="O91" s="384">
        <v>43959825000</v>
      </c>
      <c r="P91" s="384">
        <v>52636106250</v>
      </c>
      <c r="Q91" s="384">
        <v>63047643750</v>
      </c>
      <c r="R91" s="384">
        <v>52636106250</v>
      </c>
      <c r="AB91" s="384">
        <f t="shared" si="14"/>
        <v>307043953125</v>
      </c>
    </row>
    <row r="92" spans="2:28" ht="15" x14ac:dyDescent="0.25">
      <c r="B92" s="382" t="s">
        <v>589</v>
      </c>
      <c r="C92" s="140"/>
      <c r="D92" s="382" t="s">
        <v>403</v>
      </c>
      <c r="E92" s="140"/>
      <c r="F92" s="140"/>
      <c r="G92" s="140"/>
      <c r="I92" s="385">
        <v>34705125000</v>
      </c>
      <c r="J92" s="385">
        <v>39910893750</v>
      </c>
      <c r="K92" s="385">
        <v>46273500000</v>
      </c>
      <c r="L92" s="385">
        <v>47301800000</v>
      </c>
      <c r="M92" s="385">
        <v>54499900000</v>
      </c>
      <c r="N92" s="385">
        <v>56685037500</v>
      </c>
      <c r="O92" s="385">
        <v>68381950000</v>
      </c>
      <c r="P92" s="385">
        <v>81878387500</v>
      </c>
      <c r="Q92" s="385">
        <v>98074112500</v>
      </c>
      <c r="R92" s="385">
        <v>81878387500</v>
      </c>
      <c r="AB92" s="385">
        <f t="shared" si="14"/>
        <v>609589093750</v>
      </c>
    </row>
    <row r="93" spans="2:28" ht="15" x14ac:dyDescent="0.25">
      <c r="B93" s="320" t="s">
        <v>590</v>
      </c>
      <c r="C93" s="140"/>
      <c r="D93" s="320" t="s">
        <v>403</v>
      </c>
      <c r="E93" s="140"/>
      <c r="F93" s="140"/>
      <c r="G93" s="140"/>
      <c r="S93" s="380">
        <v>10556142187.5</v>
      </c>
      <c r="T93" s="380">
        <v>10556142187.5</v>
      </c>
      <c r="U93" s="380">
        <v>10556142187.5</v>
      </c>
      <c r="V93" s="380">
        <v>10556142187.5</v>
      </c>
      <c r="W93" s="380">
        <v>10556142187.5</v>
      </c>
      <c r="X93" s="380">
        <v>10556142187.5</v>
      </c>
      <c r="Y93" s="380">
        <v>10556142187.5</v>
      </c>
      <c r="Z93" s="380">
        <v>10556142187.5</v>
      </c>
      <c r="AA93" s="380">
        <v>10556142187.5</v>
      </c>
      <c r="AB93" s="380">
        <f t="shared" si="14"/>
        <v>95005279687.5</v>
      </c>
    </row>
    <row r="94" spans="2:28" ht="15" x14ac:dyDescent="0.25">
      <c r="B94" s="383" t="s">
        <v>591</v>
      </c>
      <c r="C94" s="140"/>
      <c r="D94" s="383" t="s">
        <v>403</v>
      </c>
      <c r="E94" s="140"/>
      <c r="F94" s="140"/>
      <c r="G94" s="140"/>
      <c r="S94" s="386">
        <v>24630998437.5</v>
      </c>
      <c r="T94" s="386">
        <v>19738539843.75</v>
      </c>
      <c r="U94" s="386">
        <v>15858314062.5</v>
      </c>
      <c r="V94" s="386">
        <v>12652910156.25</v>
      </c>
      <c r="W94" s="386">
        <v>9784917187.5</v>
      </c>
      <c r="X94" s="386">
        <v>6941025000</v>
      </c>
      <c r="Y94" s="386">
        <v>5639582812.5</v>
      </c>
      <c r="Z94" s="386">
        <v>4482745312.5</v>
      </c>
      <c r="AA94" s="386">
        <v>3615117187.5</v>
      </c>
      <c r="AB94" s="386">
        <f t="shared" si="14"/>
        <v>103344150000</v>
      </c>
    </row>
    <row r="95" spans="2:28" ht="409.5" customHeight="1" x14ac:dyDescent="0.2">
      <c r="B95" s="392" t="s">
        <v>604</v>
      </c>
      <c r="C95" s="657"/>
      <c r="D95" s="140"/>
      <c r="E95" s="140"/>
      <c r="F95" s="140"/>
      <c r="G95" s="140"/>
      <c r="I95" s="140"/>
      <c r="K95" s="140"/>
      <c r="L95" s="140"/>
      <c r="M95" s="140"/>
    </row>
    <row r="96" spans="2:28" x14ac:dyDescent="0.2">
      <c r="B96" s="322"/>
      <c r="C96" s="657"/>
      <c r="D96" s="140"/>
      <c r="E96" s="140"/>
      <c r="F96" s="140"/>
      <c r="G96" s="140"/>
      <c r="H96" s="140"/>
      <c r="I96" s="140"/>
      <c r="J96" s="140"/>
      <c r="K96" s="140"/>
      <c r="L96" s="140"/>
      <c r="M96" s="140"/>
    </row>
    <row r="97" spans="2:24" s="102" customFormat="1" ht="14.45" customHeight="1" x14ac:dyDescent="0.25">
      <c r="B97" s="419" t="str">
        <f>B10</f>
        <v xml:space="preserve">2.3. Impulso a la producción de maíz a mediana y gran escala.  </v>
      </c>
      <c r="C97" s="134"/>
      <c r="D97" s="140"/>
      <c r="E97" s="140"/>
      <c r="F97" s="140"/>
      <c r="G97" s="140"/>
      <c r="H97" s="140"/>
      <c r="I97" s="658"/>
      <c r="X97" s="77"/>
    </row>
    <row r="98" spans="2:24" s="102" customFormat="1" ht="14.45" customHeight="1" x14ac:dyDescent="0.25">
      <c r="B98" s="854" t="str">
        <f>Portafolio_Cadena_Maíz!H28</f>
        <v>2.3.1. Clasificar y priorizar áreas adecuadas para inversiones en la producción de maíz a mediana y gran escala, en las regiones maiceras, de acuerdo con su aptitud, infraestructura productiva, oportunidades de mercado, entre otras.</v>
      </c>
      <c r="C98" s="854"/>
      <c r="D98" s="854"/>
      <c r="E98" s="854"/>
      <c r="F98" s="854"/>
      <c r="G98" s="854"/>
      <c r="H98" s="854"/>
      <c r="I98" s="658"/>
      <c r="X98" s="77"/>
    </row>
    <row r="99" spans="2:24" s="102" customFormat="1" ht="14.45" customHeight="1" x14ac:dyDescent="0.25">
      <c r="B99" s="854" t="str">
        <f>Portafolio_Cadena_Maíz!H29</f>
        <v>2.3.2. Identificar y convocar, a través de los gremios del sector, de ProColombia y de otras entidades, a inversionistas y empresarios, nacionales o extranjeros, con interés en realizar inversiones en el cultivo de maíz a mediana y gran escala.</v>
      </c>
      <c r="C99" s="854"/>
      <c r="D99" s="854"/>
      <c r="E99" s="854"/>
      <c r="F99" s="854"/>
      <c r="G99" s="854"/>
      <c r="H99" s="854"/>
      <c r="I99" s="658"/>
      <c r="X99" s="77"/>
    </row>
    <row r="100" spans="2:24" s="102" customFormat="1" ht="14.45" customHeight="1" x14ac:dyDescent="0.25">
      <c r="B100" s="854" t="str">
        <f>Portafolio_Cadena_Maíz!H30</f>
        <v xml:space="preserve">2.3.3. Constituir un banco de proyectos de inversión en producción de maíz a mediana y gran escala con enfoque de mercado, que permita identificar y gestionar profesionalmente iniciativas y estímulos a la inversión. </v>
      </c>
      <c r="C100" s="854"/>
      <c r="D100" s="854"/>
      <c r="E100" s="854"/>
      <c r="F100" s="854"/>
      <c r="G100" s="854"/>
      <c r="H100" s="854"/>
      <c r="I100" s="658"/>
      <c r="X100" s="77"/>
    </row>
    <row r="101" spans="2:24" s="102" customFormat="1" ht="40.5" customHeight="1" x14ac:dyDescent="0.25">
      <c r="B101" s="854" t="str">
        <f>Portafolio_Cadena_Maíz!H31</f>
        <v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v>
      </c>
      <c r="C101" s="854"/>
      <c r="D101" s="854"/>
      <c r="E101" s="854"/>
      <c r="F101" s="854"/>
      <c r="G101" s="854"/>
      <c r="H101" s="854"/>
      <c r="I101" s="658"/>
      <c r="X101" s="77"/>
    </row>
    <row r="102" spans="2:24" s="102" customFormat="1" ht="30.95" customHeight="1" x14ac:dyDescent="0.25">
      <c r="B102" s="854" t="str">
        <f>Portafolio_Cadena_Maíz!H32</f>
        <v>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v>
      </c>
      <c r="C102" s="854"/>
      <c r="D102" s="854"/>
      <c r="E102" s="854"/>
      <c r="F102" s="854"/>
      <c r="G102" s="854"/>
      <c r="H102" s="854"/>
      <c r="I102" s="658"/>
      <c r="X102" s="77"/>
    </row>
    <row r="103" spans="2:24" s="102" customFormat="1" ht="32.1" customHeight="1" x14ac:dyDescent="0.25">
      <c r="B103" s="854" t="str">
        <f>Portafolio_Cadena_Maíz!H33</f>
        <v>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v>
      </c>
      <c r="C103" s="854"/>
      <c r="D103" s="854"/>
      <c r="E103" s="854"/>
      <c r="F103" s="854"/>
      <c r="G103" s="854"/>
      <c r="H103" s="854"/>
      <c r="I103" s="658"/>
      <c r="X103" s="77"/>
    </row>
    <row r="104" spans="2:24" s="102" customFormat="1" ht="24.6" customHeight="1" x14ac:dyDescent="0.25">
      <c r="B104" s="854" t="str">
        <f>Portafolio_Cadena_Maíz!H34</f>
        <v>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v>
      </c>
      <c r="C104" s="854"/>
      <c r="D104" s="854"/>
      <c r="E104" s="854"/>
      <c r="F104" s="854"/>
      <c r="G104" s="854"/>
      <c r="H104" s="854"/>
      <c r="I104" s="658"/>
      <c r="X104" s="77"/>
    </row>
    <row r="105" spans="2:24" s="102" customFormat="1" ht="14.45" customHeight="1" x14ac:dyDescent="0.25">
      <c r="B105" s="309"/>
      <c r="C105" s="657"/>
      <c r="D105" s="140"/>
      <c r="E105" s="140"/>
      <c r="F105" s="140"/>
      <c r="G105" s="140"/>
      <c r="H105" s="140"/>
      <c r="I105" s="658"/>
      <c r="X105" s="77"/>
    </row>
    <row r="106" spans="2:24" s="102" customFormat="1" ht="14.45" customHeight="1" x14ac:dyDescent="0.25">
      <c r="B106" s="857" t="s">
        <v>595</v>
      </c>
      <c r="C106" s="857"/>
      <c r="D106" s="857"/>
      <c r="E106" s="857"/>
      <c r="F106" s="857"/>
      <c r="G106" s="857"/>
      <c r="H106" s="857"/>
      <c r="I106" s="658"/>
      <c r="X106" s="77"/>
    </row>
    <row r="107" spans="2:24" ht="15" x14ac:dyDescent="0.25">
      <c r="B107" s="78" t="s">
        <v>68</v>
      </c>
      <c r="C107" s="78" t="s">
        <v>58</v>
      </c>
      <c r="D107" s="78" t="s">
        <v>55</v>
      </c>
      <c r="E107" s="78" t="s">
        <v>54</v>
      </c>
      <c r="F107" s="79" t="s">
        <v>96</v>
      </c>
      <c r="G107" s="78" t="s">
        <v>218</v>
      </c>
      <c r="H107" s="78" t="s">
        <v>71</v>
      </c>
      <c r="X107" s="80"/>
    </row>
    <row r="108" spans="2:24" x14ac:dyDescent="0.2">
      <c r="B108" s="103" t="s">
        <v>72</v>
      </c>
      <c r="C108" s="103">
        <v>12</v>
      </c>
      <c r="D108" s="103" t="s">
        <v>73</v>
      </c>
      <c r="E108" s="45">
        <v>500000</v>
      </c>
      <c r="F108" s="103"/>
      <c r="G108" s="103"/>
      <c r="H108" s="139">
        <f>+E108*C108</f>
        <v>6000000</v>
      </c>
      <c r="J108" s="52"/>
    </row>
    <row r="109" spans="2:24" x14ac:dyDescent="0.2">
      <c r="B109" s="103" t="s">
        <v>74</v>
      </c>
      <c r="C109" s="103">
        <v>12</v>
      </c>
      <c r="D109" s="103" t="s">
        <v>73</v>
      </c>
      <c r="E109" s="45">
        <v>100000</v>
      </c>
      <c r="F109" s="103"/>
      <c r="G109" s="103"/>
      <c r="H109" s="139">
        <f t="shared" ref="H109:H115" si="15">+E109*C109</f>
        <v>1200000</v>
      </c>
      <c r="J109" s="52"/>
    </row>
    <row r="110" spans="2:24" x14ac:dyDescent="0.2">
      <c r="B110" s="103" t="s">
        <v>90</v>
      </c>
      <c r="C110" s="103">
        <v>4</v>
      </c>
      <c r="D110" s="103" t="s">
        <v>73</v>
      </c>
      <c r="E110" s="45">
        <v>2300000</v>
      </c>
      <c r="F110" s="103"/>
      <c r="G110" s="103"/>
      <c r="H110" s="139">
        <f t="shared" si="15"/>
        <v>9200000</v>
      </c>
      <c r="J110" s="52"/>
    </row>
    <row r="111" spans="2:24" x14ac:dyDescent="0.2">
      <c r="B111" s="103" t="s">
        <v>91</v>
      </c>
      <c r="C111" s="103">
        <v>4</v>
      </c>
      <c r="D111" s="103" t="s">
        <v>73</v>
      </c>
      <c r="E111" s="45">
        <v>460000</v>
      </c>
      <c r="F111" s="103"/>
      <c r="G111" s="103"/>
      <c r="H111" s="139">
        <f t="shared" si="15"/>
        <v>1840000</v>
      </c>
      <c r="J111" s="52"/>
    </row>
    <row r="112" spans="2:24" ht="15.6" customHeight="1" x14ac:dyDescent="0.2">
      <c r="B112" s="103" t="s">
        <v>339</v>
      </c>
      <c r="C112" s="103">
        <v>2</v>
      </c>
      <c r="D112" s="103" t="s">
        <v>73</v>
      </c>
      <c r="E112" s="108">
        <v>18000000</v>
      </c>
      <c r="F112" s="103"/>
      <c r="G112" s="103"/>
      <c r="H112" s="139">
        <f t="shared" si="15"/>
        <v>36000000</v>
      </c>
      <c r="J112" s="52"/>
    </row>
    <row r="113" spans="2:13" x14ac:dyDescent="0.2">
      <c r="B113" s="103" t="s">
        <v>340</v>
      </c>
      <c r="C113" s="103">
        <v>2</v>
      </c>
      <c r="D113" s="103" t="s">
        <v>73</v>
      </c>
      <c r="E113" s="108">
        <v>3270000</v>
      </c>
      <c r="F113" s="97"/>
      <c r="G113" s="103"/>
      <c r="H113" s="139">
        <f t="shared" si="15"/>
        <v>6540000</v>
      </c>
      <c r="J113" s="52"/>
    </row>
    <row r="114" spans="2:13" x14ac:dyDescent="0.2">
      <c r="B114" s="103" t="s">
        <v>341</v>
      </c>
      <c r="C114" s="103">
        <v>4</v>
      </c>
      <c r="D114" s="103" t="s">
        <v>102</v>
      </c>
      <c r="E114" s="108">
        <v>7862772</v>
      </c>
      <c r="F114" s="97"/>
      <c r="G114" s="103">
        <v>10</v>
      </c>
      <c r="H114" s="139">
        <f>+E114*C114*G114</f>
        <v>314510880</v>
      </c>
      <c r="J114" s="52"/>
    </row>
    <row r="115" spans="2:13" x14ac:dyDescent="0.2">
      <c r="B115" s="103" t="s">
        <v>342</v>
      </c>
      <c r="C115" s="103">
        <v>4</v>
      </c>
      <c r="D115" s="103" t="s">
        <v>73</v>
      </c>
      <c r="E115" s="108">
        <v>1313122</v>
      </c>
      <c r="F115" s="97"/>
      <c r="G115" s="103"/>
      <c r="H115" s="139">
        <f t="shared" si="15"/>
        <v>5252488</v>
      </c>
      <c r="J115" s="52"/>
    </row>
    <row r="116" spans="2:13" ht="15" x14ac:dyDescent="0.25">
      <c r="B116" s="85" t="s">
        <v>343</v>
      </c>
      <c r="C116" s="85"/>
      <c r="D116" s="85"/>
      <c r="E116" s="85"/>
      <c r="F116" s="85"/>
      <c r="G116" s="85"/>
      <c r="H116" s="310">
        <f>SUM(H108:H115)</f>
        <v>380543368</v>
      </c>
      <c r="I116" s="311">
        <f>H116/12</f>
        <v>31711947.333333332</v>
      </c>
      <c r="J116" s="102"/>
    </row>
    <row r="117" spans="2:13" ht="71.25" x14ac:dyDescent="0.2">
      <c r="B117" s="206" t="s">
        <v>391</v>
      </c>
      <c r="C117" s="657"/>
      <c r="D117" s="140"/>
      <c r="E117" s="140"/>
      <c r="F117" s="140"/>
      <c r="G117" s="140"/>
      <c r="H117" s="140"/>
      <c r="I117" s="140"/>
      <c r="J117" s="140"/>
      <c r="K117" s="140"/>
      <c r="L117" s="140"/>
      <c r="M117" s="140"/>
    </row>
    <row r="118" spans="2:13" x14ac:dyDescent="0.2">
      <c r="D118" s="140"/>
      <c r="E118" s="140"/>
      <c r="F118" s="140"/>
      <c r="G118" s="140"/>
      <c r="H118" s="140"/>
      <c r="I118" s="140"/>
      <c r="J118" s="140"/>
      <c r="K118" s="140"/>
      <c r="L118" s="140"/>
      <c r="M118" s="140"/>
    </row>
  </sheetData>
  <sheetProtection algorithmName="SHA-512" hashValue="6069l2vuqrthZHnXMElbKz73i1Ip5hbRjDVuYFjCKaL083y+SpmpjyzdTgjIgc6H0i2jiYu45upPRIAWd+U6lQ==" saltValue="imzMtRRkPI7ezV+ZOp6HRw==" spinCount="100000" sheet="1" objects="1" scenarios="1"/>
  <mergeCells count="27">
    <mergeCell ref="B20:H20"/>
    <mergeCell ref="B14:H15"/>
    <mergeCell ref="B16:H16"/>
    <mergeCell ref="B17:H17"/>
    <mergeCell ref="B18:H18"/>
    <mergeCell ref="B19:H19"/>
    <mergeCell ref="B106:H106"/>
    <mergeCell ref="B21:H21"/>
    <mergeCell ref="B22:H22"/>
    <mergeCell ref="B63:H63"/>
    <mergeCell ref="B64:H64"/>
    <mergeCell ref="B54:H54"/>
    <mergeCell ref="B98:H98"/>
    <mergeCell ref="B99:H99"/>
    <mergeCell ref="B25:H25"/>
    <mergeCell ref="B55:H55"/>
    <mergeCell ref="B56:H56"/>
    <mergeCell ref="B57:H57"/>
    <mergeCell ref="B58:H58"/>
    <mergeCell ref="B59:H59"/>
    <mergeCell ref="B101:H101"/>
    <mergeCell ref="B102:H102"/>
    <mergeCell ref="B103:H103"/>
    <mergeCell ref="B104:H104"/>
    <mergeCell ref="B60:H60"/>
    <mergeCell ref="B61:H61"/>
    <mergeCell ref="B100:H10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67"/>
  <sheetViews>
    <sheetView showGridLines="0" zoomScale="60" zoomScaleNormal="60" workbookViewId="0">
      <selection activeCell="B106" sqref="B106"/>
    </sheetView>
  </sheetViews>
  <sheetFormatPr baseColWidth="10" defaultColWidth="10.7109375" defaultRowHeight="14.25" x14ac:dyDescent="0.2"/>
  <cols>
    <col min="1" max="1" width="13.42578125" style="101" customWidth="1"/>
    <col min="2" max="2" width="98.85546875" style="101" customWidth="1"/>
    <col min="3" max="3" width="19.85546875" style="101" customWidth="1"/>
    <col min="4" max="4" width="23.42578125" style="101" customWidth="1"/>
    <col min="5" max="5" width="22.42578125" style="101" customWidth="1"/>
    <col min="6" max="6" width="21.5703125" style="101" customWidth="1"/>
    <col min="7" max="7" width="20" style="101" customWidth="1"/>
    <col min="8" max="8" width="24.5703125" style="101" customWidth="1"/>
    <col min="9" max="9" width="19.5703125" style="101" customWidth="1"/>
    <col min="10" max="10" width="20" style="101" customWidth="1"/>
    <col min="11" max="18" width="21.42578125" style="101" bestFit="1" customWidth="1"/>
    <col min="19" max="24" width="20.28515625" style="101" bestFit="1" customWidth="1"/>
    <col min="25" max="25" width="23.140625" style="101" bestFit="1" customWidth="1"/>
    <col min="26" max="26" width="22.85546875" style="101" customWidth="1"/>
    <col min="27" max="27" width="18.5703125" style="101" bestFit="1" customWidth="1"/>
    <col min="28" max="28" width="21.42578125" style="101" bestFit="1" customWidth="1"/>
    <col min="29" max="29" width="18.5703125" style="101" bestFit="1" customWidth="1"/>
    <col min="30"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Portafolio_Cadena_Maíz!D35</f>
        <v>3.1. Promoción y fortalecimiento de organizaciones de economía solidaria en la cadena de maíz.</v>
      </c>
      <c r="C4" s="60"/>
      <c r="D4" s="61"/>
    </row>
    <row r="5" spans="1:26" ht="26.1" customHeight="1" x14ac:dyDescent="0.2">
      <c r="E5" s="153"/>
      <c r="F5" s="153"/>
      <c r="G5" s="153"/>
      <c r="H5" s="153"/>
      <c r="I5" s="153"/>
      <c r="J5" s="153"/>
      <c r="K5" s="153"/>
      <c r="L5" s="153"/>
      <c r="M5" s="153"/>
      <c r="N5" s="153"/>
      <c r="O5" s="153"/>
      <c r="P5" s="153"/>
      <c r="Q5" s="153"/>
      <c r="R5" s="153"/>
      <c r="S5" s="153"/>
      <c r="T5" s="153"/>
      <c r="U5" s="153"/>
      <c r="V5" s="153"/>
      <c r="W5" s="153"/>
      <c r="X5" s="153"/>
      <c r="Y5" s="153"/>
      <c r="Z5" s="154"/>
    </row>
    <row r="6" spans="1:26" s="40" customFormat="1" ht="15" x14ac:dyDescent="0.25">
      <c r="A6" s="101"/>
      <c r="B6" s="63" t="s">
        <v>28</v>
      </c>
      <c r="C6" s="64" t="s">
        <v>66</v>
      </c>
      <c r="D6" s="64" t="s">
        <v>160</v>
      </c>
      <c r="E6" s="65">
        <f>SUM(E7:E11)</f>
        <v>2192898774.0434999</v>
      </c>
      <c r="F6" s="65">
        <f t="shared" ref="F6:Y6" si="0">SUM(F7:F11)</f>
        <v>72759131329.773895</v>
      </c>
      <c r="G6" s="65">
        <f t="shared" si="0"/>
        <v>81284033359.461975</v>
      </c>
      <c r="H6" s="65">
        <f t="shared" si="0"/>
        <v>92414941744.849091</v>
      </c>
      <c r="I6" s="65">
        <f t="shared" si="0"/>
        <v>105346504560.48488</v>
      </c>
      <c r="J6" s="65">
        <f t="shared" si="0"/>
        <v>120017945562.466</v>
      </c>
      <c r="K6" s="65">
        <f t="shared" si="0"/>
        <v>142741405627.8584</v>
      </c>
      <c r="L6" s="65">
        <f t="shared" si="0"/>
        <v>170104592545.74368</v>
      </c>
      <c r="M6" s="65">
        <f t="shared" si="0"/>
        <v>202940416847.20602</v>
      </c>
      <c r="N6" s="65">
        <f t="shared" si="0"/>
        <v>242343406008.96088</v>
      </c>
      <c r="O6" s="65">
        <f t="shared" si="0"/>
        <v>201691152161.89401</v>
      </c>
      <c r="P6" s="65">
        <f t="shared" si="0"/>
        <v>162288163000.13922</v>
      </c>
      <c r="Q6" s="65">
        <f t="shared" si="0"/>
        <v>130765771670.73537</v>
      </c>
      <c r="R6" s="65">
        <f t="shared" si="0"/>
        <v>105547858607.21228</v>
      </c>
      <c r="S6" s="65">
        <f t="shared" si="0"/>
        <v>85373528156.39386</v>
      </c>
      <c r="T6" s="65">
        <f t="shared" si="0"/>
        <v>69234063795.739075</v>
      </c>
      <c r="U6" s="65">
        <f t="shared" si="0"/>
        <v>56322492307.215271</v>
      </c>
      <c r="V6" s="65">
        <f t="shared" si="0"/>
        <v>45993235116.396217</v>
      </c>
      <c r="W6" s="65">
        <f t="shared" si="0"/>
        <v>37729829363.740974</v>
      </c>
      <c r="X6" s="65">
        <f t="shared" si="0"/>
        <v>31119104761.616779</v>
      </c>
      <c r="Y6" s="65">
        <f t="shared" si="0"/>
        <v>2158210475301.9316</v>
      </c>
      <c r="Z6" s="66"/>
    </row>
    <row r="7" spans="1:26" s="70" customFormat="1" x14ac:dyDescent="0.2">
      <c r="A7" s="67"/>
      <c r="B7" s="68" t="str">
        <f>Portafolio_Cadena_Maíz!D35</f>
        <v>3.1. Promoción y fortalecimiento de organizaciones de economía solidaria en la cadena de maíz.</v>
      </c>
      <c r="C7" s="317" t="s">
        <v>215</v>
      </c>
      <c r="D7" s="317" t="s">
        <v>223</v>
      </c>
      <c r="E7" s="318">
        <f>I39*3</f>
        <v>239430830</v>
      </c>
      <c r="F7" s="144">
        <f>H39</f>
        <v>957723320</v>
      </c>
      <c r="G7" s="144">
        <f>F7</f>
        <v>957723320</v>
      </c>
      <c r="H7" s="144">
        <f>G7</f>
        <v>957723320</v>
      </c>
      <c r="I7" s="144">
        <f>H7</f>
        <v>957723320</v>
      </c>
      <c r="J7" s="144">
        <f>H40</f>
        <v>1332723320</v>
      </c>
      <c r="K7" s="144">
        <f>H40</f>
        <v>1332723320</v>
      </c>
      <c r="L7" s="144">
        <f>K7</f>
        <v>1332723320</v>
      </c>
      <c r="M7" s="144">
        <f>L7</f>
        <v>1332723320</v>
      </c>
      <c r="N7" s="144">
        <f>M7</f>
        <v>1332723320</v>
      </c>
      <c r="O7" s="144">
        <f>N7</f>
        <v>1332723320</v>
      </c>
      <c r="P7" s="144">
        <f>O7</f>
        <v>1332723320</v>
      </c>
      <c r="Q7" s="144">
        <f>O7</f>
        <v>1332723320</v>
      </c>
      <c r="R7" s="144">
        <f>Q7</f>
        <v>1332723320</v>
      </c>
      <c r="S7" s="144">
        <f>R7</f>
        <v>1332723320</v>
      </c>
      <c r="T7" s="144">
        <f>P7</f>
        <v>1332723320</v>
      </c>
      <c r="U7" s="144">
        <f>R7</f>
        <v>1332723320</v>
      </c>
      <c r="V7" s="144">
        <f t="shared" ref="V7:W8" si="1">U7</f>
        <v>1332723320</v>
      </c>
      <c r="W7" s="144">
        <f t="shared" si="1"/>
        <v>1332723320</v>
      </c>
      <c r="X7" s="144">
        <f>S7</f>
        <v>1332723320</v>
      </c>
      <c r="Y7" s="69">
        <f>SUM(E7:X7)</f>
        <v>24061173910</v>
      </c>
      <c r="Z7" s="66"/>
    </row>
    <row r="8" spans="1:26" s="70" customFormat="1" x14ac:dyDescent="0.2">
      <c r="A8" s="67"/>
      <c r="B8" s="68" t="str">
        <f>Portafolio_Cadena_Maíz!D39</f>
        <v>3.2. Promoción de la integración y las alianzas estratégicas regionales en la cadena de maíz.</v>
      </c>
      <c r="C8" s="317" t="s">
        <v>215</v>
      </c>
      <c r="D8" s="317" t="s">
        <v>223</v>
      </c>
      <c r="E8" s="189">
        <f>I71*3</f>
        <v>605460671.5</v>
      </c>
      <c r="F8" s="189">
        <f>H71</f>
        <v>2421842686</v>
      </c>
      <c r="G8" s="189">
        <f t="shared" ref="G8:I8" si="2">F8</f>
        <v>2421842686</v>
      </c>
      <c r="H8" s="189">
        <f t="shared" si="2"/>
        <v>2421842686</v>
      </c>
      <c r="I8" s="189">
        <f t="shared" si="2"/>
        <v>2421842686</v>
      </c>
      <c r="J8" s="189">
        <f>H73</f>
        <v>1846986450</v>
      </c>
      <c r="K8" s="189">
        <f t="shared" ref="K8:N8" si="3">J8</f>
        <v>1846986450</v>
      </c>
      <c r="L8" s="189">
        <f t="shared" si="3"/>
        <v>1846986450</v>
      </c>
      <c r="M8" s="189">
        <f t="shared" si="3"/>
        <v>1846986450</v>
      </c>
      <c r="N8" s="189">
        <f t="shared" si="3"/>
        <v>1846986450</v>
      </c>
      <c r="O8" s="189">
        <f>N8</f>
        <v>1846986450</v>
      </c>
      <c r="P8" s="189">
        <f>O8</f>
        <v>1846986450</v>
      </c>
      <c r="Q8" s="189">
        <f t="shared" ref="Q8:R10" si="4">P8</f>
        <v>1846986450</v>
      </c>
      <c r="R8" s="189">
        <f t="shared" si="4"/>
        <v>1846986450</v>
      </c>
      <c r="S8" s="189">
        <f t="shared" ref="S8:U8" si="5">R8</f>
        <v>1846986450</v>
      </c>
      <c r="T8" s="189">
        <f t="shared" si="5"/>
        <v>1846986450</v>
      </c>
      <c r="U8" s="189">
        <f t="shared" si="5"/>
        <v>1846986450</v>
      </c>
      <c r="V8" s="189">
        <f t="shared" si="1"/>
        <v>1846986450</v>
      </c>
      <c r="W8" s="189">
        <f t="shared" si="1"/>
        <v>1846986450</v>
      </c>
      <c r="X8" s="189">
        <f>W8</f>
        <v>1846986450</v>
      </c>
      <c r="Y8" s="421">
        <f t="shared" ref="Y8:Y11" si="6">SUM(E8:X8)</f>
        <v>37997628165.5</v>
      </c>
      <c r="Z8" s="66"/>
    </row>
    <row r="9" spans="1:26" s="70" customFormat="1" ht="28.5" x14ac:dyDescent="0.2">
      <c r="A9" s="67"/>
      <c r="B9" s="68" t="str">
        <f>Portafolio_Cadena_Maíz!D42</f>
        <v>3.3. Aumento de la capacidad instalada regional para el secamiento, almacenamiento, y procesamiento agroindustrial de maíz.</v>
      </c>
      <c r="C9" s="317" t="s">
        <v>215</v>
      </c>
      <c r="D9" s="317" t="s">
        <v>223</v>
      </c>
      <c r="E9" s="189">
        <f>I100*3</f>
        <v>341786536.80150002</v>
      </c>
      <c r="F9" s="189">
        <f>H100+I103+I104+I105</f>
        <v>66554608355.829895</v>
      </c>
      <c r="G9" s="189">
        <f t="shared" ref="G9:X9" si="7">I100+J103+J104+J105</f>
        <v>75079510385.517975</v>
      </c>
      <c r="H9" s="189">
        <f t="shared" si="7"/>
        <v>86210418770.90509</v>
      </c>
      <c r="I9" s="189">
        <f t="shared" si="7"/>
        <v>99141981586.540878</v>
      </c>
      <c r="J9" s="189">
        <f t="shared" si="7"/>
        <v>114013278824.522</v>
      </c>
      <c r="K9" s="189">
        <f t="shared" si="7"/>
        <v>136815934589.42639</v>
      </c>
      <c r="L9" s="189">
        <f t="shared" si="7"/>
        <v>164179121507.31168</v>
      </c>
      <c r="M9" s="189">
        <f t="shared" si="7"/>
        <v>197014945808.77402</v>
      </c>
      <c r="N9" s="189">
        <f t="shared" si="7"/>
        <v>236417934970.52887</v>
      </c>
      <c r="O9" s="189">
        <f t="shared" si="7"/>
        <v>197014945808.77402</v>
      </c>
      <c r="P9" s="189">
        <f t="shared" si="7"/>
        <v>157611956647.01923</v>
      </c>
      <c r="Q9" s="189">
        <f t="shared" si="7"/>
        <v>126089565317.61537</v>
      </c>
      <c r="R9" s="189">
        <f t="shared" si="7"/>
        <v>100871652254.09229</v>
      </c>
      <c r="S9" s="189">
        <f t="shared" si="7"/>
        <v>80697321803.273865</v>
      </c>
      <c r="T9" s="189">
        <f t="shared" si="7"/>
        <v>64557857442.61908</v>
      </c>
      <c r="U9" s="189">
        <f t="shared" si="7"/>
        <v>51646285954.095268</v>
      </c>
      <c r="V9" s="189">
        <f t="shared" si="7"/>
        <v>41317028763.276215</v>
      </c>
      <c r="W9" s="189">
        <f t="shared" si="7"/>
        <v>33053623010.620975</v>
      </c>
      <c r="X9" s="189">
        <f t="shared" si="7"/>
        <v>26442898408.49678</v>
      </c>
      <c r="Y9" s="421">
        <f t="shared" si="6"/>
        <v>2055072656746.0415</v>
      </c>
      <c r="Z9" s="66"/>
    </row>
    <row r="10" spans="1:26" s="70" customFormat="1" x14ac:dyDescent="0.2">
      <c r="A10" s="67"/>
      <c r="B10" s="68" t="str">
        <f>Portafolio_Cadena_Maíz!D47</f>
        <v xml:space="preserve">3.4. Fortalecimiento de la oferta de insumos y servicios asociados a la cadena. </v>
      </c>
      <c r="C10" s="317" t="s">
        <v>215</v>
      </c>
      <c r="D10" s="317" t="s">
        <v>223</v>
      </c>
      <c r="E10" s="422">
        <f>I140*3</f>
        <v>556248495.10800004</v>
      </c>
      <c r="F10" s="421">
        <f>+H140</f>
        <v>2224993980.4320002</v>
      </c>
      <c r="G10" s="421">
        <f>+F10</f>
        <v>2224993980.4320002</v>
      </c>
      <c r="H10" s="421">
        <f>+G10</f>
        <v>2224993980.4320002</v>
      </c>
      <c r="I10" s="421">
        <f>+H10</f>
        <v>2224993980.4320002</v>
      </c>
      <c r="J10" s="421">
        <f>I10</f>
        <v>2224993980.4320002</v>
      </c>
      <c r="K10" s="421">
        <f>+J10</f>
        <v>2224993980.4320002</v>
      </c>
      <c r="L10" s="421">
        <f t="shared" ref="L10:N10" si="8">+K10</f>
        <v>2224993980.4320002</v>
      </c>
      <c r="M10" s="421">
        <f t="shared" si="8"/>
        <v>2224993980.4320002</v>
      </c>
      <c r="N10" s="421">
        <f t="shared" si="8"/>
        <v>2224993980.4320002</v>
      </c>
      <c r="O10" s="421">
        <f>H141</f>
        <v>975729295.12</v>
      </c>
      <c r="P10" s="421">
        <f>O10</f>
        <v>975729295.12</v>
      </c>
      <c r="Q10" s="421">
        <f t="shared" si="4"/>
        <v>975729295.12</v>
      </c>
      <c r="R10" s="421">
        <f t="shared" si="4"/>
        <v>975729295.12</v>
      </c>
      <c r="S10" s="421">
        <f t="shared" ref="S10:X10" si="9">R10</f>
        <v>975729295.12</v>
      </c>
      <c r="T10" s="421">
        <f t="shared" si="9"/>
        <v>975729295.12</v>
      </c>
      <c r="U10" s="421">
        <f t="shared" si="9"/>
        <v>975729295.12</v>
      </c>
      <c r="V10" s="421">
        <f t="shared" si="9"/>
        <v>975729295.12</v>
      </c>
      <c r="W10" s="421">
        <f t="shared" si="9"/>
        <v>975729295.12</v>
      </c>
      <c r="X10" s="421">
        <f t="shared" si="9"/>
        <v>975729295.12</v>
      </c>
      <c r="Y10" s="421">
        <f t="shared" si="6"/>
        <v>30338487270.195988</v>
      </c>
      <c r="Z10" s="66"/>
    </row>
    <row r="11" spans="1:26" s="70" customFormat="1" x14ac:dyDescent="0.2">
      <c r="A11" s="67"/>
      <c r="B11" s="68" t="str">
        <f>Portafolio_Cadena_Maíz!D53</f>
        <v>3.5. Mejora del entorno productivo para las grandes inversiones en las regiones maiceras.</v>
      </c>
      <c r="C11" s="317" t="s">
        <v>376</v>
      </c>
      <c r="D11" s="317" t="s">
        <v>223</v>
      </c>
      <c r="E11" s="422">
        <f>+I165*9</f>
        <v>449972240.63399994</v>
      </c>
      <c r="F11" s="421">
        <f>+$H$165</f>
        <v>599962987.51199996</v>
      </c>
      <c r="G11" s="421">
        <f>+$H$165</f>
        <v>599962987.51199996</v>
      </c>
      <c r="H11" s="421">
        <f>+$H$165</f>
        <v>599962987.51199996</v>
      </c>
      <c r="I11" s="421">
        <f>+$H$165</f>
        <v>599962987.51199996</v>
      </c>
      <c r="J11" s="421">
        <f>+$H$165</f>
        <v>599962987.51199996</v>
      </c>
      <c r="K11" s="421">
        <f t="shared" ref="K11:X11" si="10">+$H$166</f>
        <v>520767288</v>
      </c>
      <c r="L11" s="421">
        <f t="shared" si="10"/>
        <v>520767288</v>
      </c>
      <c r="M11" s="421">
        <f t="shared" si="10"/>
        <v>520767288</v>
      </c>
      <c r="N11" s="421">
        <f t="shared" si="10"/>
        <v>520767288</v>
      </c>
      <c r="O11" s="421">
        <f t="shared" si="10"/>
        <v>520767288</v>
      </c>
      <c r="P11" s="421">
        <f t="shared" si="10"/>
        <v>520767288</v>
      </c>
      <c r="Q11" s="421">
        <f t="shared" si="10"/>
        <v>520767288</v>
      </c>
      <c r="R11" s="421">
        <f t="shared" si="10"/>
        <v>520767288</v>
      </c>
      <c r="S11" s="421">
        <f t="shared" si="10"/>
        <v>520767288</v>
      </c>
      <c r="T11" s="421">
        <f t="shared" si="10"/>
        <v>520767288</v>
      </c>
      <c r="U11" s="421">
        <f t="shared" si="10"/>
        <v>520767288</v>
      </c>
      <c r="V11" s="421">
        <f t="shared" si="10"/>
        <v>520767288</v>
      </c>
      <c r="W11" s="421">
        <f t="shared" si="10"/>
        <v>520767288</v>
      </c>
      <c r="X11" s="421">
        <f t="shared" si="10"/>
        <v>520767288</v>
      </c>
      <c r="Y11" s="421">
        <f t="shared" si="6"/>
        <v>10740529210.194</v>
      </c>
      <c r="Z11" s="66"/>
    </row>
    <row r="12" spans="1:26" s="40" customFormat="1" ht="24.6" customHeight="1" x14ac:dyDescent="0.25">
      <c r="A12" s="101"/>
      <c r="B12" s="63" t="s">
        <v>32</v>
      </c>
      <c r="C12" s="63"/>
      <c r="D12" s="63"/>
      <c r="E12" s="71">
        <f>SUM(E7:E11)</f>
        <v>2192898774.0434999</v>
      </c>
      <c r="F12" s="71">
        <f t="shared" ref="F12:Y12" si="11">SUM(F7:F11)</f>
        <v>72759131329.773895</v>
      </c>
      <c r="G12" s="71">
        <f t="shared" si="11"/>
        <v>81284033359.461975</v>
      </c>
      <c r="H12" s="71">
        <f t="shared" si="11"/>
        <v>92414941744.849091</v>
      </c>
      <c r="I12" s="71">
        <f t="shared" si="11"/>
        <v>105346504560.48488</v>
      </c>
      <c r="J12" s="71">
        <f t="shared" si="11"/>
        <v>120017945562.466</v>
      </c>
      <c r="K12" s="71">
        <f t="shared" si="11"/>
        <v>142741405627.8584</v>
      </c>
      <c r="L12" s="71">
        <f t="shared" si="11"/>
        <v>170104592545.74368</v>
      </c>
      <c r="M12" s="71">
        <f t="shared" si="11"/>
        <v>202940416847.20602</v>
      </c>
      <c r="N12" s="71">
        <f t="shared" si="11"/>
        <v>242343406008.96088</v>
      </c>
      <c r="O12" s="71">
        <f t="shared" si="11"/>
        <v>201691152161.89401</v>
      </c>
      <c r="P12" s="71">
        <f t="shared" si="11"/>
        <v>162288163000.13922</v>
      </c>
      <c r="Q12" s="71">
        <f t="shared" si="11"/>
        <v>130765771670.73537</v>
      </c>
      <c r="R12" s="71">
        <f t="shared" si="11"/>
        <v>105547858607.21228</v>
      </c>
      <c r="S12" s="71">
        <f t="shared" si="11"/>
        <v>85373528156.39386</v>
      </c>
      <c r="T12" s="71">
        <f t="shared" si="11"/>
        <v>69234063795.739075</v>
      </c>
      <c r="U12" s="71">
        <f t="shared" si="11"/>
        <v>56322492307.215271</v>
      </c>
      <c r="V12" s="71">
        <f t="shared" si="11"/>
        <v>45993235116.396217</v>
      </c>
      <c r="W12" s="71">
        <f t="shared" si="11"/>
        <v>37729829363.740974</v>
      </c>
      <c r="X12" s="71">
        <f t="shared" si="11"/>
        <v>31119104761.616779</v>
      </c>
      <c r="Y12" s="71">
        <f t="shared" si="11"/>
        <v>2158210475301.9316</v>
      </c>
      <c r="Z12" s="66"/>
    </row>
    <row r="13" spans="1:26" s="75" customFormat="1" ht="24.6" customHeight="1" x14ac:dyDescent="0.25">
      <c r="A13" s="102"/>
      <c r="B13" s="72"/>
      <c r="C13" s="72"/>
      <c r="D13" s="72"/>
      <c r="E13" s="72"/>
      <c r="F13" s="73"/>
      <c r="G13" s="74"/>
      <c r="H13" s="73"/>
      <c r="I13" s="73"/>
      <c r="J13" s="73"/>
      <c r="K13" s="73"/>
      <c r="L13" s="73"/>
      <c r="M13" s="73"/>
      <c r="N13" s="73"/>
      <c r="O13" s="73"/>
      <c r="P13" s="73"/>
      <c r="Q13" s="73"/>
      <c r="R13" s="73"/>
      <c r="S13" s="73"/>
      <c r="T13" s="73"/>
      <c r="U13" s="73"/>
      <c r="V13" s="73"/>
      <c r="W13" s="73"/>
      <c r="X13" s="73"/>
      <c r="Y13" s="73"/>
      <c r="Z13" s="73"/>
    </row>
    <row r="14" spans="1:26" s="102" customFormat="1" ht="14.45" customHeight="1" x14ac:dyDescent="0.25">
      <c r="B14" s="853" t="str">
        <f>B7</f>
        <v>3.1. Promoción y fortalecimiento de organizaciones de economía solidaria en la cadena de maíz.</v>
      </c>
      <c r="C14" s="852"/>
      <c r="D14" s="852"/>
      <c r="E14" s="852"/>
      <c r="F14" s="852"/>
      <c r="G14" s="852"/>
      <c r="H14" s="852"/>
      <c r="I14" s="304"/>
      <c r="X14" s="77"/>
    </row>
    <row r="15" spans="1:26" s="102" customFormat="1" ht="14.45" customHeight="1" x14ac:dyDescent="0.25">
      <c r="B15" s="852"/>
      <c r="C15" s="852"/>
      <c r="D15" s="852"/>
      <c r="E15" s="852"/>
      <c r="F15" s="852"/>
      <c r="G15" s="852"/>
      <c r="H15" s="852"/>
      <c r="I15" s="304"/>
      <c r="X15" s="77"/>
    </row>
    <row r="16" spans="1:26" s="102" customFormat="1" ht="33.950000000000003" customHeight="1" x14ac:dyDescent="0.25">
      <c r="B16" s="854" t="str">
        <f>Portafolio_Cadena_Maíz!H35</f>
        <v>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v>
      </c>
      <c r="C16" s="855"/>
      <c r="D16" s="855"/>
      <c r="E16" s="855"/>
      <c r="F16" s="855"/>
      <c r="G16" s="855"/>
      <c r="H16" s="855"/>
      <c r="I16" s="393"/>
      <c r="X16" s="77"/>
    </row>
    <row r="17" spans="2:24" s="102" customFormat="1" ht="30.6" customHeight="1" x14ac:dyDescent="0.25">
      <c r="B17" s="854" t="str">
        <f>Portafolio_Cadena_Maíz!H36</f>
        <v>3.1.2. Capacitar y orientar a los productores, comercializadores y procesadores de maíz, seleccionados, en desarrollo empresarial agroindustrial, dentro del marco de los principios de la economía solidaria, con enfoque al mercado, la competitividad y el suministro de bienes y servicios.</v>
      </c>
      <c r="C17" s="855"/>
      <c r="D17" s="855"/>
      <c r="E17" s="855"/>
      <c r="F17" s="855"/>
      <c r="G17" s="855"/>
      <c r="H17" s="855"/>
      <c r="I17" s="393"/>
      <c r="X17" s="77"/>
    </row>
    <row r="18" spans="2:24" s="102" customFormat="1" ht="28.5" customHeight="1" x14ac:dyDescent="0.25">
      <c r="B18" s="854" t="str">
        <f>Portafolio_Cadena_Maíz!H37</f>
        <v>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v>
      </c>
      <c r="C18" s="855"/>
      <c r="D18" s="855"/>
      <c r="E18" s="855"/>
      <c r="F18" s="855"/>
      <c r="G18" s="855"/>
      <c r="H18" s="855"/>
      <c r="I18" s="393"/>
      <c r="X18" s="77"/>
    </row>
    <row r="19" spans="2:24" s="102" customFormat="1" ht="15" x14ac:dyDescent="0.25">
      <c r="B19" s="854" t="str">
        <f>Portafolio_Cadena_Maíz!H38</f>
        <v>3.1.4. Monitorear los avances de las organizaciones de economía solidaria asistidas y seleccionar casos exitosos para realizar transferencias bajo métodos de evaluación comparativa (benchmarking) de los temas priorizados.</v>
      </c>
      <c r="C19" s="855"/>
      <c r="D19" s="855"/>
      <c r="E19" s="855"/>
      <c r="F19" s="855"/>
      <c r="G19" s="855"/>
      <c r="H19" s="855"/>
      <c r="I19" s="393"/>
      <c r="X19" s="77"/>
    </row>
    <row r="20" spans="2:24" s="102" customFormat="1" ht="14.45" customHeight="1" x14ac:dyDescent="0.25">
      <c r="B20" s="396"/>
      <c r="C20" s="415"/>
      <c r="D20" s="415"/>
      <c r="E20" s="415"/>
      <c r="F20" s="415"/>
      <c r="G20" s="415"/>
      <c r="H20" s="415"/>
      <c r="I20" s="414"/>
      <c r="X20" s="77"/>
    </row>
    <row r="21" spans="2:24" s="102" customFormat="1" ht="14.45" customHeight="1" x14ac:dyDescent="0.25">
      <c r="B21" s="854"/>
      <c r="C21" s="855"/>
      <c r="D21" s="855"/>
      <c r="E21" s="855"/>
      <c r="F21" s="855"/>
      <c r="G21" s="855"/>
      <c r="H21" s="855"/>
      <c r="I21" s="393"/>
      <c r="X21" s="77"/>
    </row>
    <row r="22" spans="2:24" s="102" customFormat="1" ht="14.45" customHeight="1" x14ac:dyDescent="0.25">
      <c r="B22" s="857" t="s">
        <v>595</v>
      </c>
      <c r="C22" s="857"/>
      <c r="D22" s="857"/>
      <c r="E22" s="857"/>
      <c r="F22" s="857"/>
      <c r="G22" s="857"/>
      <c r="H22" s="857"/>
      <c r="I22" s="393"/>
      <c r="X22" s="77"/>
    </row>
    <row r="23" spans="2:24" ht="15" x14ac:dyDescent="0.25">
      <c r="B23" s="78" t="s">
        <v>68</v>
      </c>
      <c r="C23" s="78" t="s">
        <v>58</v>
      </c>
      <c r="D23" s="78" t="s">
        <v>55</v>
      </c>
      <c r="E23" s="78" t="s">
        <v>54</v>
      </c>
      <c r="F23" s="79" t="s">
        <v>96</v>
      </c>
      <c r="G23" s="78" t="s">
        <v>70</v>
      </c>
      <c r="H23" s="78" t="s">
        <v>71</v>
      </c>
      <c r="X23" s="80"/>
    </row>
    <row r="24" spans="2:24" x14ac:dyDescent="0.2">
      <c r="B24" s="103" t="s">
        <v>219</v>
      </c>
      <c r="C24" s="53">
        <v>10</v>
      </c>
      <c r="D24" s="103" t="s">
        <v>73</v>
      </c>
      <c r="E24" s="45">
        <v>500000</v>
      </c>
      <c r="F24" s="103"/>
      <c r="G24" s="103"/>
      <c r="H24" s="146">
        <f t="shared" ref="H24:H31" si="12">+E24*C24</f>
        <v>5000000</v>
      </c>
      <c r="J24" s="52"/>
    </row>
    <row r="25" spans="2:24" x14ac:dyDescent="0.2">
      <c r="B25" s="103" t="s">
        <v>217</v>
      </c>
      <c r="C25" s="53">
        <v>10</v>
      </c>
      <c r="D25" s="103" t="s">
        <v>73</v>
      </c>
      <c r="E25" s="45">
        <v>100000</v>
      </c>
      <c r="F25" s="103"/>
      <c r="G25" s="103"/>
      <c r="H25" s="146">
        <f t="shared" si="12"/>
        <v>1000000</v>
      </c>
      <c r="J25" s="52"/>
    </row>
    <row r="26" spans="2:24" x14ac:dyDescent="0.2">
      <c r="B26" s="103" t="s">
        <v>224</v>
      </c>
      <c r="C26" s="53">
        <f>10*2</f>
        <v>20</v>
      </c>
      <c r="D26" s="103" t="s">
        <v>73</v>
      </c>
      <c r="E26" s="45">
        <v>2300000</v>
      </c>
      <c r="F26" s="103"/>
      <c r="G26" s="103"/>
      <c r="H26" s="146">
        <f t="shared" si="12"/>
        <v>46000000</v>
      </c>
      <c r="J26" s="52"/>
    </row>
    <row r="27" spans="2:24" x14ac:dyDescent="0.2">
      <c r="B27" s="103" t="s">
        <v>225</v>
      </c>
      <c r="C27" s="53">
        <v>20</v>
      </c>
      <c r="D27" s="103" t="s">
        <v>73</v>
      </c>
      <c r="E27" s="45">
        <v>460000</v>
      </c>
      <c r="F27" s="103"/>
      <c r="G27" s="103"/>
      <c r="H27" s="146">
        <f t="shared" si="12"/>
        <v>9200000</v>
      </c>
      <c r="J27" s="52"/>
    </row>
    <row r="28" spans="2:24" x14ac:dyDescent="0.2">
      <c r="B28" s="103" t="s">
        <v>221</v>
      </c>
      <c r="C28" s="53">
        <v>10</v>
      </c>
      <c r="D28" s="103" t="s">
        <v>73</v>
      </c>
      <c r="E28" s="108">
        <v>3270000</v>
      </c>
      <c r="F28" s="103"/>
      <c r="G28" s="103"/>
      <c r="H28" s="146">
        <f t="shared" si="12"/>
        <v>32700000</v>
      </c>
      <c r="J28" s="52"/>
    </row>
    <row r="29" spans="2:24" x14ac:dyDescent="0.2">
      <c r="B29" s="103" t="s">
        <v>76</v>
      </c>
      <c r="C29" s="53">
        <v>10</v>
      </c>
      <c r="D29" s="103" t="s">
        <v>65</v>
      </c>
      <c r="E29" s="108">
        <v>6000000</v>
      </c>
      <c r="F29" s="103"/>
      <c r="G29" s="103"/>
      <c r="H29" s="146">
        <f t="shared" si="12"/>
        <v>60000000</v>
      </c>
      <c r="J29" s="52"/>
    </row>
    <row r="30" spans="2:24" x14ac:dyDescent="0.2">
      <c r="B30" s="103" t="s">
        <v>77</v>
      </c>
      <c r="C30" s="53">
        <v>10</v>
      </c>
      <c r="D30" s="103" t="s">
        <v>65</v>
      </c>
      <c r="E30" s="108">
        <v>1800000</v>
      </c>
      <c r="F30" s="103"/>
      <c r="G30" s="103"/>
      <c r="H30" s="146">
        <f t="shared" si="12"/>
        <v>18000000</v>
      </c>
      <c r="J30" s="52"/>
    </row>
    <row r="31" spans="2:24" s="102" customFormat="1" x14ac:dyDescent="0.2">
      <c r="B31" s="48" t="s">
        <v>172</v>
      </c>
      <c r="C31" s="136">
        <v>10</v>
      </c>
      <c r="D31" s="48" t="s">
        <v>73</v>
      </c>
      <c r="E31" s="148">
        <v>14500000</v>
      </c>
      <c r="F31" s="48"/>
      <c r="G31" s="48"/>
      <c r="H31" s="149">
        <f t="shared" si="12"/>
        <v>145000000</v>
      </c>
      <c r="J31" s="137"/>
    </row>
    <row r="32" spans="2:24" s="102" customFormat="1" x14ac:dyDescent="0.2">
      <c r="B32" s="48" t="s">
        <v>212</v>
      </c>
      <c r="C32" s="136">
        <v>10</v>
      </c>
      <c r="D32" s="48" t="s">
        <v>73</v>
      </c>
      <c r="E32" s="148">
        <v>5000000</v>
      </c>
      <c r="F32" s="48"/>
      <c r="G32" s="48"/>
      <c r="H32" s="149">
        <f>+E32*C32</f>
        <v>50000000</v>
      </c>
      <c r="J32" s="137"/>
    </row>
    <row r="33" spans="1:24" x14ac:dyDescent="0.2">
      <c r="B33" s="103" t="s">
        <v>79</v>
      </c>
      <c r="C33" s="53">
        <v>2</v>
      </c>
      <c r="D33" s="103" t="s">
        <v>244</v>
      </c>
      <c r="E33" s="45">
        <v>8963563</v>
      </c>
      <c r="F33" s="97"/>
      <c r="G33" s="103">
        <v>10</v>
      </c>
      <c r="H33" s="146">
        <f>C33*E33*G33</f>
        <v>179271260</v>
      </c>
      <c r="I33" s="147"/>
      <c r="J33" s="137"/>
    </row>
    <row r="34" spans="1:24" x14ac:dyDescent="0.2">
      <c r="B34" s="103" t="s">
        <v>220</v>
      </c>
      <c r="C34" s="53">
        <v>10</v>
      </c>
      <c r="D34" s="103" t="s">
        <v>244</v>
      </c>
      <c r="E34" s="108">
        <v>856561</v>
      </c>
      <c r="F34" s="97"/>
      <c r="G34" s="103"/>
      <c r="H34" s="146">
        <f>C34*E34</f>
        <v>8565610</v>
      </c>
      <c r="J34" s="52"/>
    </row>
    <row r="35" spans="1:24" x14ac:dyDescent="0.2">
      <c r="B35" s="103" t="s">
        <v>222</v>
      </c>
      <c r="C35" s="54">
        <v>10</v>
      </c>
      <c r="D35" s="103" t="s">
        <v>244</v>
      </c>
      <c r="E35" s="45">
        <v>6604729</v>
      </c>
      <c r="F35" s="97">
        <v>0.5</v>
      </c>
      <c r="G35" s="103">
        <v>10</v>
      </c>
      <c r="H35" s="146">
        <f>C35*E35*G35*F35</f>
        <v>330236450</v>
      </c>
      <c r="I35" s="147"/>
      <c r="J35" s="137"/>
    </row>
    <row r="36" spans="1:24" x14ac:dyDescent="0.2">
      <c r="B36" s="81" t="s">
        <v>56</v>
      </c>
      <c r="C36" s="54">
        <v>10</v>
      </c>
      <c r="D36" s="103" t="s">
        <v>244</v>
      </c>
      <c r="E36" s="108">
        <v>1300000</v>
      </c>
      <c r="F36" s="97">
        <v>0.5</v>
      </c>
      <c r="G36" s="103">
        <v>10</v>
      </c>
      <c r="H36" s="146">
        <f t="shared" ref="H36:H37" si="13">C36*E36*G36*F36</f>
        <v>65000000</v>
      </c>
      <c r="I36" s="147"/>
      <c r="J36" s="137"/>
    </row>
    <row r="37" spans="1:24" x14ac:dyDescent="0.2">
      <c r="B37" s="103" t="s">
        <v>178</v>
      </c>
      <c r="C37" s="53">
        <v>10</v>
      </c>
      <c r="D37" s="103" t="s">
        <v>244</v>
      </c>
      <c r="E37" s="108">
        <v>155000</v>
      </c>
      <c r="F37" s="97">
        <v>0.5</v>
      </c>
      <c r="G37" s="103">
        <v>10</v>
      </c>
      <c r="H37" s="146">
        <f t="shared" si="13"/>
        <v>7750000</v>
      </c>
      <c r="J37" s="52"/>
    </row>
    <row r="38" spans="1:24" ht="15" x14ac:dyDescent="0.25">
      <c r="B38" s="48" t="s">
        <v>383</v>
      </c>
      <c r="C38" s="136">
        <v>10</v>
      </c>
      <c r="D38" s="48"/>
      <c r="E38" s="148">
        <v>500000000</v>
      </c>
      <c r="F38" s="394">
        <v>7.4999999999999997E-2</v>
      </c>
      <c r="G38" s="395"/>
      <c r="H38" s="149">
        <f>C38*E38*F38</f>
        <v>375000000</v>
      </c>
      <c r="I38" s="98" t="s">
        <v>159</v>
      </c>
      <c r="J38" s="52"/>
    </row>
    <row r="39" spans="1:24" ht="15" x14ac:dyDescent="0.25">
      <c r="B39" s="85" t="s">
        <v>378</v>
      </c>
      <c r="C39" s="86"/>
      <c r="D39" s="86"/>
      <c r="E39" s="87"/>
      <c r="F39" s="87"/>
      <c r="G39" s="86"/>
      <c r="H39" s="98">
        <f>SUM(H24:H37)</f>
        <v>957723320</v>
      </c>
      <c r="I39" s="98">
        <f>H39/12</f>
        <v>79810276.666666672</v>
      </c>
      <c r="J39" s="137"/>
      <c r="K39" s="147"/>
    </row>
    <row r="40" spans="1:24" s="302" customFormat="1" ht="15" x14ac:dyDescent="0.25">
      <c r="B40" s="321" t="s">
        <v>347</v>
      </c>
      <c r="H40" s="321">
        <f>H39+H38</f>
        <v>1332723320</v>
      </c>
      <c r="I40" s="137">
        <f>H40*15</f>
        <v>19990849800</v>
      </c>
      <c r="J40" s="137"/>
      <c r="K40" s="147"/>
    </row>
    <row r="41" spans="1:24" s="102" customFormat="1" ht="196.5" customHeight="1" x14ac:dyDescent="0.2">
      <c r="B41" s="207" t="s">
        <v>384</v>
      </c>
      <c r="C41" s="302"/>
      <c r="D41" s="302"/>
      <c r="E41" s="302"/>
      <c r="F41" s="302"/>
      <c r="G41" s="302"/>
      <c r="H41" s="147"/>
      <c r="I41" s="147"/>
      <c r="J41" s="147"/>
      <c r="K41" s="147"/>
    </row>
    <row r="42" spans="1:24" x14ac:dyDescent="0.2">
      <c r="B42" s="302"/>
      <c r="C42" s="302"/>
      <c r="D42" s="302"/>
      <c r="E42" s="302"/>
      <c r="F42" s="302"/>
      <c r="G42" s="302"/>
      <c r="H42" s="102"/>
      <c r="I42" s="102"/>
    </row>
    <row r="43" spans="1:24" ht="15" x14ac:dyDescent="0.25">
      <c r="B43" s="302"/>
      <c r="C43" s="302"/>
      <c r="D43" s="302"/>
      <c r="E43" s="302"/>
      <c r="F43" s="302"/>
      <c r="G43" s="302"/>
      <c r="H43" s="302"/>
      <c r="I43" s="90"/>
    </row>
    <row r="44" spans="1:24" s="102" customFormat="1" ht="14.45" customHeight="1" x14ac:dyDescent="0.25">
      <c r="A44" s="91"/>
      <c r="B44" s="853" t="str">
        <f>+B8</f>
        <v>3.2. Promoción de la integración y las alianzas estratégicas regionales en la cadena de maíz.</v>
      </c>
      <c r="C44" s="853"/>
      <c r="D44" s="853"/>
      <c r="E44" s="853"/>
      <c r="F44" s="853"/>
      <c r="G44" s="853"/>
      <c r="H44" s="853"/>
    </row>
    <row r="45" spans="1:24" hidden="1" x14ac:dyDescent="0.2">
      <c r="B45" s="134"/>
      <c r="C45" s="134"/>
      <c r="D45" s="134"/>
      <c r="E45" s="134"/>
      <c r="F45" s="134"/>
      <c r="G45" s="134"/>
      <c r="H45" s="134"/>
    </row>
    <row r="46" spans="1:24" s="102" customFormat="1" ht="36.950000000000003" customHeight="1" x14ac:dyDescent="0.25">
      <c r="B46" s="854" t="str">
        <f>Portafolio_Cadena_Maíz!H39</f>
        <v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v>
      </c>
      <c r="C46" s="855"/>
      <c r="D46" s="855"/>
      <c r="E46" s="855"/>
      <c r="F46" s="855"/>
      <c r="G46" s="855"/>
      <c r="H46" s="855"/>
      <c r="I46" s="393"/>
      <c r="X46" s="77"/>
    </row>
    <row r="47" spans="1:24" s="102" customFormat="1" ht="44.45" customHeight="1" x14ac:dyDescent="0.25">
      <c r="B47" s="854" t="str">
        <f>Portafolio_Cadena_Maíz!H40</f>
        <v>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v>
      </c>
      <c r="C47" s="855"/>
      <c r="D47" s="855"/>
      <c r="E47" s="855"/>
      <c r="F47" s="855"/>
      <c r="G47" s="855"/>
      <c r="H47" s="855"/>
      <c r="I47" s="393"/>
      <c r="X47" s="77"/>
    </row>
    <row r="48" spans="1:24" s="102" customFormat="1" ht="14.45" customHeight="1" x14ac:dyDescent="0.25">
      <c r="B48" s="854" t="str">
        <f>Portafolio_Cadena_Maíz!H41</f>
        <v>3.2.3. Monitorear la consolidación de las alianzas estratégicas, y acuerdos comerciales y de inversión entre los agentes de la cadena en las regiones.</v>
      </c>
      <c r="C48" s="855"/>
      <c r="D48" s="855"/>
      <c r="E48" s="855"/>
      <c r="F48" s="855"/>
      <c r="G48" s="855"/>
      <c r="H48" s="855"/>
      <c r="I48" s="393"/>
      <c r="X48" s="77"/>
    </row>
    <row r="49" spans="1:24" s="102" customFormat="1" ht="14.45" customHeight="1" x14ac:dyDescent="0.25">
      <c r="B49" s="396"/>
      <c r="C49" s="415"/>
      <c r="D49" s="415"/>
      <c r="E49" s="415"/>
      <c r="F49" s="415"/>
      <c r="G49" s="415"/>
      <c r="H49" s="415"/>
      <c r="I49" s="393"/>
      <c r="X49" s="77"/>
    </row>
    <row r="50" spans="1:24" s="102" customFormat="1" ht="14.45" customHeight="1" x14ac:dyDescent="0.25">
      <c r="B50" s="857" t="s">
        <v>595</v>
      </c>
      <c r="C50" s="857"/>
      <c r="D50" s="857"/>
      <c r="E50" s="857"/>
      <c r="F50" s="857"/>
      <c r="G50" s="857"/>
      <c r="H50" s="857"/>
      <c r="I50" s="393"/>
      <c r="X50" s="77"/>
    </row>
    <row r="51" spans="1:24" ht="15" x14ac:dyDescent="0.25">
      <c r="B51" s="400" t="s">
        <v>68</v>
      </c>
      <c r="C51" s="400" t="s">
        <v>58</v>
      </c>
      <c r="D51" s="400" t="s">
        <v>55</v>
      </c>
      <c r="E51" s="400" t="s">
        <v>54</v>
      </c>
      <c r="F51" s="400" t="s">
        <v>69</v>
      </c>
      <c r="G51" s="400" t="s">
        <v>70</v>
      </c>
      <c r="H51" s="400" t="s">
        <v>71</v>
      </c>
    </row>
    <row r="52" spans="1:24" s="102" customFormat="1" x14ac:dyDescent="0.2">
      <c r="A52" s="92"/>
      <c r="B52" s="104" t="s">
        <v>226</v>
      </c>
      <c r="C52" s="104">
        <v>10</v>
      </c>
      <c r="D52" s="104" t="s">
        <v>73</v>
      </c>
      <c r="E52" s="81">
        <v>500000</v>
      </c>
      <c r="F52" s="104"/>
      <c r="G52" s="104"/>
      <c r="H52" s="146">
        <f>+E52*C52</f>
        <v>5000000</v>
      </c>
      <c r="I52" s="84"/>
      <c r="J52" s="52"/>
    </row>
    <row r="53" spans="1:24" s="102" customFormat="1" x14ac:dyDescent="0.2">
      <c r="A53" s="92"/>
      <c r="B53" s="104" t="s">
        <v>74</v>
      </c>
      <c r="C53" s="104">
        <v>10</v>
      </c>
      <c r="D53" s="104" t="s">
        <v>73</v>
      </c>
      <c r="E53" s="81">
        <v>100000</v>
      </c>
      <c r="F53" s="104"/>
      <c r="G53" s="104"/>
      <c r="H53" s="146">
        <f t="shared" ref="H53:H59" si="14">+E53*C53</f>
        <v>1000000</v>
      </c>
      <c r="I53" s="84"/>
      <c r="J53" s="137"/>
    </row>
    <row r="54" spans="1:24" s="102" customFormat="1" x14ac:dyDescent="0.2">
      <c r="A54" s="92"/>
      <c r="B54" s="367" t="s">
        <v>224</v>
      </c>
      <c r="C54" s="104">
        <f>2*2*4</f>
        <v>16</v>
      </c>
      <c r="D54" s="104" t="s">
        <v>73</v>
      </c>
      <c r="E54" s="81">
        <v>2300000</v>
      </c>
      <c r="F54" s="104"/>
      <c r="G54" s="104"/>
      <c r="H54" s="146">
        <f t="shared" si="14"/>
        <v>36800000</v>
      </c>
      <c r="I54" s="44"/>
      <c r="J54" s="137"/>
    </row>
    <row r="55" spans="1:24" s="102" customFormat="1" x14ac:dyDescent="0.2">
      <c r="A55" s="92"/>
      <c r="B55" s="104" t="s">
        <v>225</v>
      </c>
      <c r="C55" s="104">
        <v>8</v>
      </c>
      <c r="D55" s="104" t="s">
        <v>73</v>
      </c>
      <c r="E55" s="81">
        <v>460000</v>
      </c>
      <c r="F55" s="104"/>
      <c r="G55" s="104"/>
      <c r="H55" s="146">
        <f t="shared" si="14"/>
        <v>3680000</v>
      </c>
      <c r="I55" s="44"/>
      <c r="J55" s="137"/>
    </row>
    <row r="56" spans="1:24" s="102" customFormat="1" x14ac:dyDescent="0.2">
      <c r="B56" s="367" t="s">
        <v>229</v>
      </c>
      <c r="C56" s="104">
        <f>2*4</f>
        <v>8</v>
      </c>
      <c r="D56" s="104" t="s">
        <v>65</v>
      </c>
      <c r="E56" s="81">
        <v>6000000</v>
      </c>
      <c r="F56" s="104"/>
      <c r="G56" s="104"/>
      <c r="H56" s="146">
        <f t="shared" si="14"/>
        <v>48000000</v>
      </c>
      <c r="I56" s="44"/>
      <c r="J56" s="137"/>
    </row>
    <row r="57" spans="1:24" s="102" customFormat="1" x14ac:dyDescent="0.2">
      <c r="B57" s="367" t="s">
        <v>77</v>
      </c>
      <c r="C57" s="104">
        <v>8</v>
      </c>
      <c r="D57" s="104" t="s">
        <v>65</v>
      </c>
      <c r="E57" s="81">
        <v>1800000</v>
      </c>
      <c r="F57" s="104"/>
      <c r="G57" s="104"/>
      <c r="H57" s="146">
        <f t="shared" si="14"/>
        <v>14400000</v>
      </c>
      <c r="I57" s="44"/>
      <c r="J57" s="137"/>
    </row>
    <row r="58" spans="1:24" s="102" customFormat="1" x14ac:dyDescent="0.2">
      <c r="A58" s="92"/>
      <c r="B58" s="104" t="s">
        <v>231</v>
      </c>
      <c r="C58" s="104">
        <f>5*4</f>
        <v>20</v>
      </c>
      <c r="D58" s="104" t="s">
        <v>73</v>
      </c>
      <c r="E58" s="81">
        <v>3000000</v>
      </c>
      <c r="F58" s="104"/>
      <c r="G58" s="104"/>
      <c r="H58" s="146">
        <f t="shared" si="14"/>
        <v>60000000</v>
      </c>
      <c r="I58" s="83"/>
      <c r="J58" s="137"/>
    </row>
    <row r="59" spans="1:24" s="102" customFormat="1" x14ac:dyDescent="0.2">
      <c r="A59" s="92"/>
      <c r="B59" s="104" t="s">
        <v>232</v>
      </c>
      <c r="C59" s="104">
        <v>20</v>
      </c>
      <c r="D59" s="104" t="s">
        <v>73</v>
      </c>
      <c r="E59" s="81">
        <v>900000</v>
      </c>
      <c r="F59" s="104"/>
      <c r="G59" s="104"/>
      <c r="H59" s="146">
        <f t="shared" si="14"/>
        <v>18000000</v>
      </c>
      <c r="I59" s="83"/>
      <c r="J59" s="137"/>
    </row>
    <row r="60" spans="1:24" x14ac:dyDescent="0.2">
      <c r="B60" s="104" t="s">
        <v>172</v>
      </c>
      <c r="C60" s="104">
        <v>10</v>
      </c>
      <c r="D60" s="104" t="s">
        <v>73</v>
      </c>
      <c r="E60" s="94">
        <v>14500000</v>
      </c>
      <c r="F60" s="200"/>
      <c r="G60" s="104"/>
      <c r="H60" s="146">
        <f>C60*E60</f>
        <v>145000000</v>
      </c>
      <c r="I60" s="44"/>
      <c r="J60" s="137"/>
    </row>
    <row r="61" spans="1:24" x14ac:dyDescent="0.2">
      <c r="B61" s="104" t="s">
        <v>212</v>
      </c>
      <c r="C61" s="104">
        <v>10</v>
      </c>
      <c r="D61" s="104" t="s">
        <v>73</v>
      </c>
      <c r="E61" s="81">
        <v>5000000</v>
      </c>
      <c r="F61" s="104"/>
      <c r="G61" s="104"/>
      <c r="H61" s="146">
        <f>C61*E61</f>
        <v>50000000</v>
      </c>
      <c r="I61" s="44"/>
      <c r="J61" s="52"/>
    </row>
    <row r="62" spans="1:24" s="102" customFormat="1" x14ac:dyDescent="0.2">
      <c r="A62" s="92"/>
      <c r="B62" s="104" t="s">
        <v>230</v>
      </c>
      <c r="C62" s="104">
        <v>20</v>
      </c>
      <c r="D62" s="104" t="s">
        <v>73</v>
      </c>
      <c r="E62" s="81">
        <v>52200000</v>
      </c>
      <c r="F62" s="104"/>
      <c r="G62" s="104"/>
      <c r="H62" s="146">
        <f>C62*E62</f>
        <v>1044000000</v>
      </c>
      <c r="I62" s="44"/>
      <c r="J62" s="52"/>
    </row>
    <row r="63" spans="1:24" s="102" customFormat="1" x14ac:dyDescent="0.2">
      <c r="A63" s="92"/>
      <c r="B63" s="104" t="s">
        <v>83</v>
      </c>
      <c r="C63" s="104">
        <v>20</v>
      </c>
      <c r="D63" s="104" t="s">
        <v>73</v>
      </c>
      <c r="E63" s="81">
        <v>20000000</v>
      </c>
      <c r="F63" s="104"/>
      <c r="G63" s="104"/>
      <c r="H63" s="146">
        <f>C63*E63</f>
        <v>400000000</v>
      </c>
      <c r="I63" s="44"/>
      <c r="J63" s="137"/>
    </row>
    <row r="64" spans="1:24" s="102" customFormat="1" x14ac:dyDescent="0.2">
      <c r="A64" s="92"/>
      <c r="B64" s="367" t="s">
        <v>210</v>
      </c>
      <c r="C64" s="104">
        <v>2</v>
      </c>
      <c r="D64" s="104" t="s">
        <v>240</v>
      </c>
      <c r="E64" s="81">
        <v>8963563</v>
      </c>
      <c r="F64" s="200"/>
      <c r="G64" s="104">
        <f>+G33</f>
        <v>10</v>
      </c>
      <c r="H64" s="146">
        <f>C64*E64*G64</f>
        <v>179271260</v>
      </c>
      <c r="I64" s="44"/>
      <c r="J64" s="137"/>
    </row>
    <row r="65" spans="1:24" s="102" customFormat="1" x14ac:dyDescent="0.2">
      <c r="A65" s="92"/>
      <c r="B65" s="104" t="s">
        <v>227</v>
      </c>
      <c r="C65" s="104">
        <f>+(2*2*4)</f>
        <v>16</v>
      </c>
      <c r="D65" s="104" t="s">
        <v>240</v>
      </c>
      <c r="E65" s="81">
        <v>856561</v>
      </c>
      <c r="F65" s="104"/>
      <c r="G65" s="104"/>
      <c r="H65" s="146">
        <f>+E65*C65</f>
        <v>13704976</v>
      </c>
      <c r="I65" s="44"/>
      <c r="J65" s="137"/>
    </row>
    <row r="66" spans="1:24" s="102" customFormat="1" x14ac:dyDescent="0.2">
      <c r="B66" s="104" t="s">
        <v>228</v>
      </c>
      <c r="C66" s="104">
        <v>10</v>
      </c>
      <c r="D66" s="104" t="s">
        <v>240</v>
      </c>
      <c r="E66" s="81">
        <v>6604729</v>
      </c>
      <c r="F66" s="200">
        <v>0.5</v>
      </c>
      <c r="G66" s="104">
        <v>10</v>
      </c>
      <c r="H66" s="146">
        <f>+E66*C66*G66*F66</f>
        <v>330236450</v>
      </c>
      <c r="I66" s="83"/>
      <c r="J66" s="137"/>
    </row>
    <row r="67" spans="1:24" x14ac:dyDescent="0.2">
      <c r="B67" s="81" t="s">
        <v>56</v>
      </c>
      <c r="C67" s="104">
        <v>10</v>
      </c>
      <c r="D67" s="104" t="s">
        <v>240</v>
      </c>
      <c r="E67" s="94">
        <v>1300000</v>
      </c>
      <c r="F67" s="200">
        <v>0.5</v>
      </c>
      <c r="G67" s="104">
        <v>10</v>
      </c>
      <c r="H67" s="146">
        <f>+E67*C67*F67*G67</f>
        <v>65000000</v>
      </c>
      <c r="I67" s="44"/>
      <c r="J67" s="137"/>
    </row>
    <row r="68" spans="1:24" x14ac:dyDescent="0.2">
      <c r="B68" s="81" t="s">
        <v>178</v>
      </c>
      <c r="C68" s="104">
        <v>10</v>
      </c>
      <c r="D68" s="104" t="s">
        <v>240</v>
      </c>
      <c r="E68" s="94">
        <v>155000</v>
      </c>
      <c r="F68" s="200">
        <v>0.5</v>
      </c>
      <c r="G68" s="104">
        <v>10</v>
      </c>
      <c r="H68" s="146">
        <f>C68*E68*F68*G68</f>
        <v>7750000</v>
      </c>
      <c r="J68" s="52"/>
    </row>
    <row r="69" spans="1:24" x14ac:dyDescent="0.2">
      <c r="B69" s="81" t="s">
        <v>379</v>
      </c>
      <c r="C69" s="104"/>
      <c r="D69" s="104"/>
      <c r="E69" s="94"/>
      <c r="F69" s="200"/>
      <c r="G69" s="104"/>
      <c r="H69" s="146" t="s">
        <v>67</v>
      </c>
      <c r="J69" s="52"/>
    </row>
    <row r="70" spans="1:24" ht="15" x14ac:dyDescent="0.25">
      <c r="B70" s="81" t="s">
        <v>385</v>
      </c>
      <c r="C70" s="104"/>
      <c r="D70" s="104"/>
      <c r="E70" s="94"/>
      <c r="F70" s="200"/>
      <c r="G70" s="104"/>
      <c r="H70" s="146" t="s">
        <v>67</v>
      </c>
      <c r="I70" s="98" t="s">
        <v>159</v>
      </c>
      <c r="J70" s="52"/>
    </row>
    <row r="71" spans="1:24" ht="15" x14ac:dyDescent="0.25">
      <c r="B71" s="85" t="s">
        <v>241</v>
      </c>
      <c r="C71" s="86"/>
      <c r="D71" s="86"/>
      <c r="E71" s="87"/>
      <c r="F71" s="87"/>
      <c r="G71" s="86"/>
      <c r="H71" s="98">
        <f>SUM(H52:H68)</f>
        <v>2421842686</v>
      </c>
      <c r="I71" s="98">
        <f>H71/12</f>
        <v>201820223.83333334</v>
      </c>
      <c r="J71" s="52"/>
    </row>
    <row r="72" spans="1:24" s="102" customFormat="1" ht="260.45" hidden="1" customHeight="1" x14ac:dyDescent="0.2">
      <c r="B72" s="99" t="s">
        <v>86</v>
      </c>
      <c r="C72" s="302"/>
      <c r="D72" s="302"/>
      <c r="E72" s="302"/>
      <c r="F72" s="302"/>
      <c r="G72" s="302"/>
      <c r="H72" s="302"/>
      <c r="J72" s="52">
        <v>1846986450</v>
      </c>
    </row>
    <row r="73" spans="1:24" s="102" customFormat="1" ht="15" x14ac:dyDescent="0.25">
      <c r="B73" s="141" t="s">
        <v>242</v>
      </c>
      <c r="C73" s="150"/>
      <c r="D73" s="150"/>
      <c r="E73" s="150"/>
      <c r="F73" s="150"/>
      <c r="G73" s="151"/>
      <c r="H73" s="152">
        <f>(H62+H63)+H66+H67+H68</f>
        <v>1846986450</v>
      </c>
      <c r="I73" s="101"/>
      <c r="J73" s="52"/>
    </row>
    <row r="74" spans="1:24" s="102" customFormat="1" x14ac:dyDescent="0.2">
      <c r="B74" s="99"/>
      <c r="C74" s="302"/>
      <c r="D74" s="302"/>
      <c r="E74" s="302"/>
      <c r="F74" s="302"/>
      <c r="G74" s="101"/>
      <c r="H74" s="101"/>
      <c r="I74" s="101"/>
      <c r="J74" s="101"/>
    </row>
    <row r="75" spans="1:24" ht="280.5" customHeight="1" x14ac:dyDescent="0.2">
      <c r="B75" s="207" t="s">
        <v>386</v>
      </c>
      <c r="C75" s="102"/>
      <c r="D75" s="102"/>
      <c r="E75" s="102"/>
      <c r="F75" s="77"/>
    </row>
    <row r="76" spans="1:24" s="102" customFormat="1" ht="14.45" customHeight="1" x14ac:dyDescent="0.25">
      <c r="A76" s="91"/>
      <c r="B76" s="853" t="str">
        <f>+B9</f>
        <v>3.3. Aumento de la capacidad instalada regional para el secamiento, almacenamiento, y procesamiento agroindustrial de maíz.</v>
      </c>
      <c r="C76" s="852"/>
      <c r="D76" s="852"/>
      <c r="E76" s="852"/>
      <c r="F76" s="852"/>
      <c r="G76" s="852"/>
      <c r="H76" s="852"/>
    </row>
    <row r="77" spans="1:24" hidden="1" x14ac:dyDescent="0.2">
      <c r="B77" s="134"/>
      <c r="C77" s="134"/>
      <c r="D77" s="134"/>
      <c r="E77" s="134"/>
      <c r="F77" s="134"/>
      <c r="G77" s="134"/>
      <c r="H77" s="134"/>
    </row>
    <row r="78" spans="1:24" s="102" customFormat="1" ht="28.5" customHeight="1" x14ac:dyDescent="0.25">
      <c r="B78" s="854" t="str">
        <f>Portafolio_Cadena_Maíz!H42</f>
        <v>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v>
      </c>
      <c r="C78" s="855"/>
      <c r="D78" s="855"/>
      <c r="E78" s="855"/>
      <c r="F78" s="855"/>
      <c r="G78" s="855"/>
      <c r="H78" s="855"/>
      <c r="I78" s="393"/>
      <c r="X78" s="77"/>
    </row>
    <row r="79" spans="1:24" s="102" customFormat="1" ht="28.5" customHeight="1" x14ac:dyDescent="0.25">
      <c r="B79" s="854" t="str">
        <f>Portafolio_Cadena_Maíz!H43</f>
        <v>3.3.2. Capacitar, orientar y acompañar técnicamente a los productores, sus empresas y/o a los agroindustriales, sobre construcción, mejora y adecuación de los diferentes tipos de infraestructura de secamiento y almacenamiento de maíz, acorde con las subregiones maiceras priorizadas.</v>
      </c>
      <c r="C79" s="855"/>
      <c r="D79" s="855"/>
      <c r="E79" s="855"/>
      <c r="F79" s="855"/>
      <c r="G79" s="855"/>
      <c r="H79" s="855"/>
      <c r="I79" s="393"/>
      <c r="X79" s="77"/>
    </row>
    <row r="80" spans="1:24" s="102" customFormat="1" ht="33" customHeight="1" x14ac:dyDescent="0.25">
      <c r="B80" s="854" t="str">
        <f>Portafolio_Cadena_Maíz!H44</f>
        <v>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v>
      </c>
      <c r="C80" s="855"/>
      <c r="D80" s="855"/>
      <c r="E80" s="855"/>
      <c r="F80" s="855"/>
      <c r="G80" s="855"/>
      <c r="H80" s="855"/>
      <c r="I80" s="393"/>
      <c r="X80" s="77"/>
    </row>
    <row r="81" spans="1:10" ht="33.6" customHeight="1" x14ac:dyDescent="0.25">
      <c r="B81" s="854" t="str">
        <f>Portafolio_Cadena_Maíz!H45</f>
        <v>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v>
      </c>
      <c r="C81" s="855"/>
      <c r="D81" s="855"/>
      <c r="E81" s="855"/>
      <c r="F81" s="855"/>
      <c r="G81" s="855"/>
      <c r="H81" s="855"/>
    </row>
    <row r="82" spans="1:10" ht="15" x14ac:dyDescent="0.25">
      <c r="B82" s="854" t="str">
        <f>Portafolio_Cadena_Maíz!H46</f>
        <v xml:space="preserve">3.3.5. Promover la creación de empresas agroindustriales regionales para el procesamiento de maíz y fabricación de derivados, brindando acompañamiento técnico y cofinanciación para la formulación y ejecución de planes de negocio. </v>
      </c>
      <c r="C82" s="855"/>
      <c r="D82" s="855"/>
      <c r="E82" s="855"/>
      <c r="F82" s="855"/>
      <c r="G82" s="855"/>
      <c r="H82" s="855"/>
    </row>
    <row r="83" spans="1:10" ht="14.1" customHeight="1" x14ac:dyDescent="0.25">
      <c r="B83" s="396"/>
      <c r="C83" s="415"/>
      <c r="D83" s="415"/>
      <c r="E83" s="415"/>
      <c r="F83" s="415"/>
      <c r="G83" s="415"/>
      <c r="H83" s="415"/>
    </row>
    <row r="84" spans="1:10" ht="15" x14ac:dyDescent="0.25">
      <c r="B84" s="857" t="s">
        <v>595</v>
      </c>
      <c r="C84" s="857"/>
      <c r="D84" s="857"/>
      <c r="E84" s="857"/>
      <c r="F84" s="857"/>
      <c r="G84" s="857"/>
      <c r="H84" s="857"/>
    </row>
    <row r="85" spans="1:10" ht="15" x14ac:dyDescent="0.25">
      <c r="B85" s="78" t="s">
        <v>68</v>
      </c>
      <c r="C85" s="78" t="s">
        <v>58</v>
      </c>
      <c r="D85" s="78" t="s">
        <v>55</v>
      </c>
      <c r="E85" s="78" t="s">
        <v>54</v>
      </c>
      <c r="F85" s="78" t="s">
        <v>69</v>
      </c>
      <c r="G85" s="78" t="s">
        <v>70</v>
      </c>
      <c r="H85" s="78" t="s">
        <v>71</v>
      </c>
      <c r="J85" s="137"/>
    </row>
    <row r="86" spans="1:10" s="102" customFormat="1" x14ac:dyDescent="0.2">
      <c r="A86" s="92"/>
      <c r="B86" s="303" t="s">
        <v>233</v>
      </c>
      <c r="C86" s="103">
        <v>30</v>
      </c>
      <c r="D86" s="103" t="s">
        <v>73</v>
      </c>
      <c r="E86" s="355">
        <v>500000</v>
      </c>
      <c r="F86" s="103"/>
      <c r="G86" s="103"/>
      <c r="H86" s="146">
        <f>+E86*C86</f>
        <v>15000000</v>
      </c>
      <c r="I86" s="44"/>
      <c r="J86" s="137"/>
    </row>
    <row r="87" spans="1:10" s="102" customFormat="1" x14ac:dyDescent="0.2">
      <c r="A87" s="92"/>
      <c r="B87" s="303" t="s">
        <v>74</v>
      </c>
      <c r="C87" s="103">
        <v>30</v>
      </c>
      <c r="D87" s="103" t="s">
        <v>73</v>
      </c>
      <c r="E87" s="355">
        <v>100000</v>
      </c>
      <c r="F87" s="103"/>
      <c r="G87" s="103"/>
      <c r="H87" s="146">
        <f t="shared" ref="H87:H92" si="15">+E87*C87</f>
        <v>3000000</v>
      </c>
      <c r="I87" s="44"/>
      <c r="J87" s="137"/>
    </row>
    <row r="88" spans="1:10" s="102" customFormat="1" x14ac:dyDescent="0.2">
      <c r="A88" s="92"/>
      <c r="B88" s="303" t="s">
        <v>224</v>
      </c>
      <c r="C88" s="104">
        <v>40</v>
      </c>
      <c r="D88" s="103" t="s">
        <v>73</v>
      </c>
      <c r="E88" s="355">
        <v>2300000</v>
      </c>
      <c r="F88" s="103"/>
      <c r="G88" s="103"/>
      <c r="H88" s="146">
        <f t="shared" si="15"/>
        <v>92000000</v>
      </c>
      <c r="I88" s="44"/>
      <c r="J88" s="137"/>
    </row>
    <row r="89" spans="1:10" s="102" customFormat="1" x14ac:dyDescent="0.2">
      <c r="A89" s="92"/>
      <c r="B89" s="303" t="s">
        <v>225</v>
      </c>
      <c r="C89" s="104">
        <v>40</v>
      </c>
      <c r="D89" s="103" t="s">
        <v>73</v>
      </c>
      <c r="E89" s="355">
        <v>460000</v>
      </c>
      <c r="F89" s="103"/>
      <c r="G89" s="103"/>
      <c r="H89" s="146">
        <f t="shared" si="15"/>
        <v>18400000</v>
      </c>
      <c r="I89" s="44"/>
      <c r="J89" s="137"/>
    </row>
    <row r="90" spans="1:10" s="102" customFormat="1" x14ac:dyDescent="0.2">
      <c r="A90" s="92"/>
      <c r="B90" s="303" t="s">
        <v>234</v>
      </c>
      <c r="C90" s="104">
        <v>10</v>
      </c>
      <c r="D90" s="103" t="s">
        <v>73</v>
      </c>
      <c r="E90" s="355">
        <v>3270000</v>
      </c>
      <c r="F90" s="103"/>
      <c r="G90" s="103"/>
      <c r="H90" s="146">
        <f t="shared" si="15"/>
        <v>32700000</v>
      </c>
      <c r="I90" s="44"/>
      <c r="J90" s="137"/>
    </row>
    <row r="91" spans="1:10" s="102" customFormat="1" x14ac:dyDescent="0.2">
      <c r="A91" s="92"/>
      <c r="B91" s="303" t="s">
        <v>229</v>
      </c>
      <c r="C91" s="104">
        <v>10</v>
      </c>
      <c r="D91" s="103" t="s">
        <v>65</v>
      </c>
      <c r="E91" s="355">
        <v>6000000</v>
      </c>
      <c r="F91" s="103"/>
      <c r="G91" s="103"/>
      <c r="H91" s="146">
        <f t="shared" si="15"/>
        <v>60000000</v>
      </c>
      <c r="I91" s="44"/>
      <c r="J91" s="137"/>
    </row>
    <row r="92" spans="1:10" s="102" customFormat="1" x14ac:dyDescent="0.2">
      <c r="A92" s="92"/>
      <c r="B92" s="303" t="s">
        <v>77</v>
      </c>
      <c r="C92" s="104">
        <v>10</v>
      </c>
      <c r="D92" s="103" t="s">
        <v>65</v>
      </c>
      <c r="E92" s="355">
        <v>1800000</v>
      </c>
      <c r="F92" s="103"/>
      <c r="G92" s="103"/>
      <c r="H92" s="146">
        <f t="shared" si="15"/>
        <v>18000000</v>
      </c>
      <c r="I92" s="44"/>
      <c r="J92" s="137"/>
    </row>
    <row r="93" spans="1:10" s="102" customFormat="1" x14ac:dyDescent="0.2">
      <c r="A93" s="92"/>
      <c r="B93" s="303" t="s">
        <v>236</v>
      </c>
      <c r="C93" s="103">
        <v>5</v>
      </c>
      <c r="D93" s="103" t="s">
        <v>239</v>
      </c>
      <c r="E93" s="355">
        <v>8954882.5200000014</v>
      </c>
      <c r="F93" s="103"/>
      <c r="G93" s="103"/>
      <c r="H93" s="146">
        <f>C93*E93</f>
        <v>44774412.600000009</v>
      </c>
      <c r="I93" s="44"/>
      <c r="J93" s="137"/>
    </row>
    <row r="94" spans="1:10" s="102" customFormat="1" x14ac:dyDescent="0.2">
      <c r="A94" s="92"/>
      <c r="B94" s="303" t="s">
        <v>237</v>
      </c>
      <c r="C94" s="103">
        <v>3</v>
      </c>
      <c r="D94" s="103" t="s">
        <v>239</v>
      </c>
      <c r="E94" s="355">
        <v>19476574.949999999</v>
      </c>
      <c r="F94" s="103"/>
      <c r="G94" s="103"/>
      <c r="H94" s="146">
        <f t="shared" ref="H94:H95" si="16">C94*E94</f>
        <v>58429724.849999994</v>
      </c>
      <c r="I94" s="44"/>
      <c r="J94" s="137"/>
    </row>
    <row r="95" spans="1:10" s="102" customFormat="1" x14ac:dyDescent="0.2">
      <c r="B95" s="303" t="s">
        <v>238</v>
      </c>
      <c r="C95" s="103">
        <v>1</v>
      </c>
      <c r="D95" s="103" t="s">
        <v>239</v>
      </c>
      <c r="E95" s="355">
        <v>39597849.755999997</v>
      </c>
      <c r="F95" s="103"/>
      <c r="G95" s="103"/>
      <c r="H95" s="146">
        <f t="shared" si="16"/>
        <v>39597849.755999997</v>
      </c>
      <c r="I95" s="44"/>
      <c r="J95" s="137"/>
    </row>
    <row r="96" spans="1:10" s="102" customFormat="1" x14ac:dyDescent="0.2">
      <c r="A96" s="92"/>
      <c r="B96" s="303" t="s">
        <v>210</v>
      </c>
      <c r="C96" s="103">
        <v>2</v>
      </c>
      <c r="D96" s="103" t="s">
        <v>244</v>
      </c>
      <c r="E96" s="53">
        <v>8963563</v>
      </c>
      <c r="F96" s="97"/>
      <c r="G96" s="103">
        <v>10</v>
      </c>
      <c r="H96" s="146">
        <f>C96*E96*G96</f>
        <v>179271260</v>
      </c>
      <c r="I96" s="44"/>
      <c r="J96" s="52"/>
    </row>
    <row r="97" spans="1:29" x14ac:dyDescent="0.2">
      <c r="B97" s="103" t="s">
        <v>235</v>
      </c>
      <c r="C97" s="104">
        <v>10</v>
      </c>
      <c r="D97" s="103" t="s">
        <v>240</v>
      </c>
      <c r="E97" s="53">
        <v>6604729</v>
      </c>
      <c r="F97" s="97">
        <v>0.5</v>
      </c>
      <c r="G97" s="103">
        <v>10</v>
      </c>
      <c r="H97" s="146">
        <f t="shared" ref="H97:H99" si="17">C97*E97*G97</f>
        <v>660472900</v>
      </c>
      <c r="I97" s="44"/>
      <c r="J97" s="52"/>
    </row>
    <row r="98" spans="1:29" x14ac:dyDescent="0.2">
      <c r="B98" s="81" t="s">
        <v>56</v>
      </c>
      <c r="C98" s="104">
        <v>10</v>
      </c>
      <c r="D98" s="103" t="s">
        <v>240</v>
      </c>
      <c r="E98" s="53">
        <v>1300000</v>
      </c>
      <c r="F98" s="97">
        <v>0.5</v>
      </c>
      <c r="G98" s="103">
        <v>10</v>
      </c>
      <c r="H98" s="146">
        <f t="shared" si="17"/>
        <v>130000000</v>
      </c>
      <c r="I98" s="44"/>
      <c r="J98" s="52"/>
    </row>
    <row r="99" spans="1:29" ht="15" x14ac:dyDescent="0.25">
      <c r="B99" s="103" t="s">
        <v>178</v>
      </c>
      <c r="C99" s="103">
        <v>10</v>
      </c>
      <c r="D99" s="103" t="s">
        <v>240</v>
      </c>
      <c r="E99" s="53">
        <v>155000</v>
      </c>
      <c r="F99" s="97">
        <v>0.5</v>
      </c>
      <c r="G99" s="103">
        <v>10</v>
      </c>
      <c r="H99" s="146">
        <f t="shared" si="17"/>
        <v>15500000</v>
      </c>
      <c r="I99" s="98" t="s">
        <v>159</v>
      </c>
      <c r="J99" s="52"/>
    </row>
    <row r="100" spans="1:29" ht="15" x14ac:dyDescent="0.25">
      <c r="B100" s="85" t="s">
        <v>243</v>
      </c>
      <c r="C100" s="86"/>
      <c r="D100" s="86"/>
      <c r="E100" s="87"/>
      <c r="F100" s="87"/>
      <c r="G100" s="86"/>
      <c r="H100" s="98">
        <f>SUM(H86:H99)</f>
        <v>1367146147.2060001</v>
      </c>
      <c r="I100" s="98">
        <f>H100/12</f>
        <v>113928845.6005</v>
      </c>
      <c r="J100" s="52"/>
    </row>
    <row r="101" spans="1:29" s="102" customFormat="1" ht="260.45" hidden="1" customHeight="1" x14ac:dyDescent="0.2">
      <c r="B101" s="99" t="s">
        <v>86</v>
      </c>
      <c r="C101" s="302"/>
      <c r="D101" s="302"/>
      <c r="E101" s="302"/>
      <c r="F101" s="302"/>
      <c r="G101" s="302"/>
      <c r="H101" s="302"/>
      <c r="J101" s="52"/>
    </row>
    <row r="102" spans="1:29" ht="15" x14ac:dyDescent="0.25">
      <c r="B102" s="403" t="s">
        <v>596</v>
      </c>
      <c r="I102" s="402">
        <v>2</v>
      </c>
      <c r="J102" s="402">
        <v>3</v>
      </c>
      <c r="K102" s="402">
        <v>4</v>
      </c>
      <c r="L102" s="402">
        <v>5</v>
      </c>
      <c r="M102" s="402">
        <v>6</v>
      </c>
      <c r="N102" s="402">
        <v>7</v>
      </c>
      <c r="O102" s="402">
        <v>8</v>
      </c>
      <c r="P102" s="402">
        <v>9</v>
      </c>
      <c r="Q102" s="402">
        <v>10</v>
      </c>
      <c r="R102" s="402">
        <v>11</v>
      </c>
      <c r="S102" s="402">
        <v>12</v>
      </c>
      <c r="T102" s="402">
        <v>13</v>
      </c>
      <c r="U102" s="402">
        <v>14</v>
      </c>
      <c r="V102" s="402">
        <v>15</v>
      </c>
      <c r="W102" s="402">
        <v>16</v>
      </c>
      <c r="X102" s="402">
        <v>17</v>
      </c>
      <c r="Y102" s="402">
        <v>18</v>
      </c>
      <c r="Z102" s="402">
        <v>19</v>
      </c>
      <c r="AA102" s="402">
        <v>20</v>
      </c>
      <c r="AB102" s="402" t="s">
        <v>32</v>
      </c>
    </row>
    <row r="103" spans="1:29" ht="15" x14ac:dyDescent="0.25">
      <c r="B103" s="381" t="s">
        <v>601</v>
      </c>
      <c r="I103" s="405">
        <v>10347670913.692411</v>
      </c>
      <c r="J103" s="405">
        <v>11899821550.746275</v>
      </c>
      <c r="K103" s="405">
        <v>13684794783.358215</v>
      </c>
      <c r="L103" s="405">
        <v>15737514000.86195</v>
      </c>
      <c r="M103" s="405">
        <v>18098141100.991241</v>
      </c>
      <c r="N103" s="405">
        <v>21717769321.189487</v>
      </c>
      <c r="O103" s="405">
        <v>26061323185.427387</v>
      </c>
      <c r="P103" s="405">
        <v>31273587822.512867</v>
      </c>
      <c r="Q103" s="405">
        <v>37528305387.015442</v>
      </c>
      <c r="R103" s="405">
        <v>31273587822.512867</v>
      </c>
      <c r="S103" s="405">
        <v>25018870258.010296</v>
      </c>
      <c r="T103" s="405">
        <v>20015096206.408234</v>
      </c>
      <c r="U103" s="405">
        <v>16012076965.126587</v>
      </c>
      <c r="V103" s="405">
        <v>12809661572.101273</v>
      </c>
      <c r="W103" s="405">
        <v>10247729257.681017</v>
      </c>
      <c r="X103" s="405">
        <v>8198183406.1448145</v>
      </c>
      <c r="Y103" s="405">
        <v>6558546724.9158516</v>
      </c>
      <c r="Z103" s="405">
        <v>5246837379.932682</v>
      </c>
      <c r="AA103" s="405">
        <v>4197469903.9461455</v>
      </c>
      <c r="AB103" s="405">
        <v>325926987562.57507</v>
      </c>
      <c r="AC103" s="115"/>
    </row>
    <row r="104" spans="1:29" ht="15" x14ac:dyDescent="0.25">
      <c r="B104" s="382" t="s">
        <v>602</v>
      </c>
      <c r="I104" s="385">
        <v>42106848047.703651</v>
      </c>
      <c r="J104" s="385">
        <v>48422875254.8592</v>
      </c>
      <c r="K104" s="385">
        <v>55686306543.088074</v>
      </c>
      <c r="L104" s="385">
        <v>64039252524.5513</v>
      </c>
      <c r="M104" s="385">
        <v>73645140403.233994</v>
      </c>
      <c r="N104" s="385">
        <v>88374168483.880783</v>
      </c>
      <c r="O104" s="385">
        <v>106049002180.65695</v>
      </c>
      <c r="P104" s="385">
        <v>127258802616.78833</v>
      </c>
      <c r="Q104" s="385">
        <v>152710563140.14603</v>
      </c>
      <c r="R104" s="385">
        <v>127258802616.78833</v>
      </c>
      <c r="S104" s="385">
        <v>101807042093.43068</v>
      </c>
      <c r="T104" s="385">
        <v>81445633674.744537</v>
      </c>
      <c r="U104" s="385">
        <v>65156506939.795631</v>
      </c>
      <c r="V104" s="385">
        <v>52125205551.836517</v>
      </c>
      <c r="W104" s="385">
        <v>41700164441.469208</v>
      </c>
      <c r="X104" s="385">
        <v>33360131553.175369</v>
      </c>
      <c r="Y104" s="385">
        <v>26688105242.540298</v>
      </c>
      <c r="Z104" s="385">
        <v>21350484194.032238</v>
      </c>
      <c r="AA104" s="385">
        <v>17080387355.225792</v>
      </c>
      <c r="AB104" s="385">
        <v>1326265422857.9473</v>
      </c>
      <c r="AC104" s="115"/>
    </row>
    <row r="105" spans="1:29" ht="15" x14ac:dyDescent="0.25">
      <c r="B105" s="404" t="s">
        <v>603</v>
      </c>
      <c r="I105" s="406">
        <v>12732943247.227829</v>
      </c>
      <c r="J105" s="406">
        <v>14642884734.312004</v>
      </c>
      <c r="K105" s="406">
        <v>16839317444.458805</v>
      </c>
      <c r="L105" s="406">
        <v>19365215061.127628</v>
      </c>
      <c r="M105" s="406">
        <v>22269997320.296768</v>
      </c>
      <c r="N105" s="406">
        <v>26723996784.356121</v>
      </c>
      <c r="O105" s="406">
        <v>32068796141.227352</v>
      </c>
      <c r="P105" s="406">
        <v>38482555369.472816</v>
      </c>
      <c r="Q105" s="406">
        <v>46179066443.367393</v>
      </c>
      <c r="R105" s="406">
        <v>38482555369.472816</v>
      </c>
      <c r="S105" s="406">
        <v>30786044295.578255</v>
      </c>
      <c r="T105" s="406">
        <v>24628835436.462605</v>
      </c>
      <c r="U105" s="406">
        <v>19703068349.170082</v>
      </c>
      <c r="V105" s="406">
        <v>15762454679.336069</v>
      </c>
      <c r="W105" s="406">
        <v>12609963743.468855</v>
      </c>
      <c r="X105" s="406">
        <v>10087970994.775084</v>
      </c>
      <c r="Y105" s="406">
        <v>8070376795.8200674</v>
      </c>
      <c r="Z105" s="406">
        <v>6456301436.6560545</v>
      </c>
      <c r="AA105" s="406">
        <v>5165041149.3248444</v>
      </c>
      <c r="AB105" s="406">
        <v>401057384795.9115</v>
      </c>
      <c r="AC105" s="115"/>
    </row>
    <row r="106" spans="1:29" ht="408.6" customHeight="1" x14ac:dyDescent="0.2">
      <c r="B106" s="412" t="s">
        <v>605</v>
      </c>
    </row>
    <row r="107" spans="1:29" ht="408.6" customHeight="1" x14ac:dyDescent="0.2"/>
    <row r="109" spans="1:29" s="102" customFormat="1" ht="14.45" customHeight="1" x14ac:dyDescent="0.25">
      <c r="A109" s="91"/>
      <c r="B109" s="853" t="str">
        <f>B10</f>
        <v xml:space="preserve">3.4. Fortalecimiento de la oferta de insumos y servicios asociados a la cadena. </v>
      </c>
      <c r="C109" s="853"/>
      <c r="D109" s="853"/>
      <c r="E109" s="853"/>
      <c r="F109" s="853"/>
      <c r="G109" s="853"/>
      <c r="H109" s="853"/>
    </row>
    <row r="110" spans="1:29" hidden="1" x14ac:dyDescent="0.2">
      <c r="B110" s="134"/>
      <c r="C110" s="134"/>
      <c r="D110" s="134"/>
      <c r="E110" s="134"/>
      <c r="F110" s="134"/>
      <c r="G110" s="134"/>
      <c r="H110" s="134"/>
    </row>
    <row r="111" spans="1:29" s="102" customFormat="1" ht="35.450000000000003" customHeight="1" x14ac:dyDescent="0.25">
      <c r="B111" s="854" t="str">
        <f>Portafolio_Cadena_Maíz!H47</f>
        <v>3.4.1. Identificar y convocar a los proveedores de insumos y servicios comerciales, técnicos y logísticos, de las subregiones maiceras priorizadas, para fortalecer su oferta, acorde con las necesidades de la cadena, y a partir de la caracterización subregional de la actividad 9.4.3.</v>
      </c>
      <c r="C111" s="855"/>
      <c r="D111" s="855"/>
      <c r="E111" s="855"/>
      <c r="F111" s="855"/>
      <c r="G111" s="855"/>
      <c r="H111" s="855"/>
      <c r="I111" s="393"/>
      <c r="X111" s="77"/>
    </row>
    <row r="112" spans="1:29" s="102" customFormat="1" ht="14.45" customHeight="1" x14ac:dyDescent="0.25">
      <c r="B112" s="854" t="str">
        <f>Portafolio_Cadena_Maíz!H48</f>
        <v xml:space="preserve">3.4.2. Promover en Colombia, la multiplicación y comercialización de semillas hibridas de alta tecnología a precios competitivos, a través de acompañamiento para crear empresas que se dediquen a esta actividad y de orientación a las ya existentes.  </v>
      </c>
      <c r="C112" s="855"/>
      <c r="D112" s="855"/>
      <c r="E112" s="855"/>
      <c r="F112" s="855"/>
      <c r="G112" s="855"/>
      <c r="H112" s="855"/>
      <c r="I112" s="393"/>
      <c r="X112" s="77"/>
    </row>
    <row r="113" spans="1:24" s="102" customFormat="1" ht="14.45" customHeight="1" x14ac:dyDescent="0.25">
      <c r="B113" s="854" t="str">
        <f>Portafolio_Cadena_Maíz!H49</f>
        <v>3.4.3. Fomentar la creación de empresas: comerciales, de insumos, de bioinsumos, de servicios, logística y de tecnología, a través de acompañamiento técnico y de la divulgación de los instrumentos financieros disponibles, a los productores y/o agroindustriales.</v>
      </c>
      <c r="C113" s="855"/>
      <c r="D113" s="855"/>
      <c r="E113" s="855"/>
      <c r="F113" s="855"/>
      <c r="G113" s="855"/>
      <c r="H113" s="855"/>
      <c r="I113" s="393"/>
      <c r="X113" s="77"/>
    </row>
    <row r="114" spans="1:24" ht="15" x14ac:dyDescent="0.25">
      <c r="B114" s="854" t="str">
        <f>Portafolio_Cadena_Maíz!H50</f>
        <v>3.4.4. Capacitar a los productores y/o agroindustriales, en la gestión de sus cadenas de suministro de insumos y servicios, la logística de sus operaciones y la tecnología aplicable en estas.</v>
      </c>
      <c r="C114" s="855"/>
      <c r="D114" s="855"/>
      <c r="E114" s="855"/>
      <c r="F114" s="855"/>
      <c r="G114" s="855"/>
      <c r="H114" s="855"/>
    </row>
    <row r="115" spans="1:24" ht="29.1" customHeight="1" x14ac:dyDescent="0.25">
      <c r="B115" s="854" t="str">
        <f>Portafolio_Cadena_Maíz!H51</f>
        <v>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v>
      </c>
      <c r="C115" s="855"/>
      <c r="D115" s="855"/>
      <c r="E115" s="855"/>
      <c r="F115" s="855"/>
      <c r="G115" s="855"/>
      <c r="H115" s="855"/>
    </row>
    <row r="116" spans="1:24" ht="15" x14ac:dyDescent="0.25">
      <c r="B116" s="854" t="str">
        <f>Portafolio_Cadena_Maíz!H52</f>
        <v>3.4.6. Promover la capacitación de operadores de maquinaria agrícola y equipos tecnológicos para la agricultura, y la capacitación de personas para su mantenimiento y reparación.</v>
      </c>
      <c r="C116" s="855"/>
      <c r="D116" s="855"/>
      <c r="E116" s="855"/>
      <c r="F116" s="855"/>
      <c r="G116" s="855"/>
      <c r="H116" s="855"/>
    </row>
    <row r="118" spans="1:24" ht="15" x14ac:dyDescent="0.25">
      <c r="B118" s="857" t="s">
        <v>595</v>
      </c>
      <c r="C118" s="857"/>
      <c r="D118" s="857"/>
      <c r="E118" s="857"/>
      <c r="F118" s="857"/>
      <c r="G118" s="857"/>
      <c r="H118" s="857"/>
    </row>
    <row r="119" spans="1:24" ht="15" x14ac:dyDescent="0.25">
      <c r="B119" s="78" t="s">
        <v>68</v>
      </c>
      <c r="C119" s="78" t="s">
        <v>58</v>
      </c>
      <c r="D119" s="78" t="s">
        <v>55</v>
      </c>
      <c r="E119" s="78" t="s">
        <v>54</v>
      </c>
      <c r="F119" s="78" t="s">
        <v>69</v>
      </c>
      <c r="G119" s="78" t="s">
        <v>70</v>
      </c>
      <c r="H119" s="78" t="s">
        <v>71</v>
      </c>
      <c r="J119" s="52"/>
    </row>
    <row r="120" spans="1:24" s="102" customFormat="1" x14ac:dyDescent="0.2">
      <c r="A120" s="92"/>
      <c r="B120" s="103" t="s">
        <v>226</v>
      </c>
      <c r="C120" s="104">
        <v>20</v>
      </c>
      <c r="D120" s="103" t="s">
        <v>73</v>
      </c>
      <c r="E120" s="45">
        <v>500000</v>
      </c>
      <c r="F120" s="103"/>
      <c r="G120" s="103"/>
      <c r="H120" s="146">
        <f>+E120*C120</f>
        <v>10000000</v>
      </c>
      <c r="I120" s="84"/>
      <c r="J120" s="52"/>
    </row>
    <row r="121" spans="1:24" s="102" customFormat="1" x14ac:dyDescent="0.2">
      <c r="A121" s="92"/>
      <c r="B121" s="103" t="s">
        <v>74</v>
      </c>
      <c r="C121" s="104">
        <v>20</v>
      </c>
      <c r="D121" s="103" t="s">
        <v>73</v>
      </c>
      <c r="E121" s="45">
        <v>100000</v>
      </c>
      <c r="F121" s="103"/>
      <c r="G121" s="103"/>
      <c r="H121" s="146">
        <f t="shared" ref="H121:H131" si="18">+E121*C121</f>
        <v>2000000</v>
      </c>
      <c r="I121" s="84"/>
      <c r="J121" s="137"/>
    </row>
    <row r="122" spans="1:24" s="102" customFormat="1" x14ac:dyDescent="0.2">
      <c r="A122" s="92"/>
      <c r="B122" s="303" t="s">
        <v>224</v>
      </c>
      <c r="C122" s="103">
        <v>20</v>
      </c>
      <c r="D122" s="103" t="s">
        <v>73</v>
      </c>
      <c r="E122" s="45">
        <v>2300000</v>
      </c>
      <c r="F122" s="103"/>
      <c r="G122" s="103"/>
      <c r="H122" s="146">
        <f t="shared" si="18"/>
        <v>46000000</v>
      </c>
      <c r="I122" s="44"/>
      <c r="J122" s="137"/>
    </row>
    <row r="123" spans="1:24" s="102" customFormat="1" x14ac:dyDescent="0.2">
      <c r="A123" s="92"/>
      <c r="B123" s="103" t="s">
        <v>225</v>
      </c>
      <c r="C123" s="103">
        <v>20</v>
      </c>
      <c r="D123" s="103" t="s">
        <v>73</v>
      </c>
      <c r="E123" s="45">
        <v>460000</v>
      </c>
      <c r="F123" s="103"/>
      <c r="G123" s="103"/>
      <c r="H123" s="146">
        <f t="shared" si="18"/>
        <v>9200000</v>
      </c>
      <c r="I123" s="44"/>
      <c r="J123" s="137"/>
    </row>
    <row r="124" spans="1:24" s="102" customFormat="1" x14ac:dyDescent="0.2">
      <c r="B124" s="303" t="s">
        <v>229</v>
      </c>
      <c r="C124" s="103">
        <v>20</v>
      </c>
      <c r="D124" s="103" t="s">
        <v>65</v>
      </c>
      <c r="E124" s="45">
        <v>6000000</v>
      </c>
      <c r="F124" s="103"/>
      <c r="G124" s="103"/>
      <c r="H124" s="146">
        <f t="shared" si="18"/>
        <v>120000000</v>
      </c>
      <c r="I124" s="44"/>
      <c r="J124" s="137"/>
    </row>
    <row r="125" spans="1:24" s="102" customFormat="1" x14ac:dyDescent="0.2">
      <c r="B125" s="303" t="s">
        <v>77</v>
      </c>
      <c r="C125" s="103">
        <v>20</v>
      </c>
      <c r="D125" s="103" t="s">
        <v>65</v>
      </c>
      <c r="E125" s="45">
        <v>1800000</v>
      </c>
      <c r="F125" s="103"/>
      <c r="G125" s="103"/>
      <c r="H125" s="146">
        <f t="shared" si="18"/>
        <v>36000000</v>
      </c>
      <c r="I125" s="44"/>
      <c r="J125" s="137"/>
    </row>
    <row r="126" spans="1:24" s="102" customFormat="1" x14ac:dyDescent="0.2">
      <c r="A126" s="92"/>
      <c r="B126" s="103" t="s">
        <v>231</v>
      </c>
      <c r="C126" s="104">
        <v>20</v>
      </c>
      <c r="D126" s="103" t="s">
        <v>73</v>
      </c>
      <c r="E126" s="45">
        <v>3000000</v>
      </c>
      <c r="F126" s="103"/>
      <c r="G126" s="103"/>
      <c r="H126" s="146">
        <f t="shared" si="18"/>
        <v>60000000</v>
      </c>
      <c r="I126" s="83"/>
      <c r="J126" s="137"/>
    </row>
    <row r="127" spans="1:24" s="102" customFormat="1" x14ac:dyDescent="0.2">
      <c r="A127" s="92"/>
      <c r="B127" s="103" t="s">
        <v>232</v>
      </c>
      <c r="C127" s="104">
        <v>20</v>
      </c>
      <c r="D127" s="103" t="s">
        <v>73</v>
      </c>
      <c r="E127" s="45">
        <v>900000</v>
      </c>
      <c r="F127" s="103"/>
      <c r="G127" s="103"/>
      <c r="H127" s="146">
        <f t="shared" si="18"/>
        <v>18000000</v>
      </c>
      <c r="I127" s="83"/>
      <c r="J127" s="137"/>
    </row>
    <row r="128" spans="1:24" x14ac:dyDescent="0.2">
      <c r="B128" s="103" t="s">
        <v>172</v>
      </c>
      <c r="C128" s="104">
        <v>10</v>
      </c>
      <c r="D128" s="103" t="s">
        <v>73</v>
      </c>
      <c r="E128" s="108">
        <v>14500000</v>
      </c>
      <c r="F128" s="97"/>
      <c r="G128" s="103"/>
      <c r="H128" s="146">
        <f t="shared" si="18"/>
        <v>145000000</v>
      </c>
      <c r="I128" s="44"/>
      <c r="J128" s="137"/>
    </row>
    <row r="129" spans="1:10" x14ac:dyDescent="0.2">
      <c r="B129" s="103" t="s">
        <v>212</v>
      </c>
      <c r="C129" s="103">
        <v>10</v>
      </c>
      <c r="D129" s="103" t="s">
        <v>73</v>
      </c>
      <c r="E129" s="45">
        <v>5000000</v>
      </c>
      <c r="F129" s="103"/>
      <c r="G129" s="103"/>
      <c r="H129" s="146">
        <f t="shared" si="18"/>
        <v>50000000</v>
      </c>
      <c r="I129" s="44"/>
      <c r="J129" s="52"/>
    </row>
    <row r="130" spans="1:10" s="102" customFormat="1" x14ac:dyDescent="0.2">
      <c r="A130" s="92"/>
      <c r="B130" s="103" t="s">
        <v>245</v>
      </c>
      <c r="C130" s="104">
        <v>10</v>
      </c>
      <c r="D130" s="103" t="s">
        <v>73</v>
      </c>
      <c r="E130" s="45">
        <v>52200000</v>
      </c>
      <c r="F130" s="103"/>
      <c r="G130" s="103"/>
      <c r="H130" s="146">
        <f t="shared" si="18"/>
        <v>522000000</v>
      </c>
      <c r="I130" s="44"/>
      <c r="J130" s="52"/>
    </row>
    <row r="131" spans="1:10" s="102" customFormat="1" x14ac:dyDescent="0.2">
      <c r="A131" s="92"/>
      <c r="B131" s="103" t="s">
        <v>83</v>
      </c>
      <c r="C131" s="104">
        <v>20</v>
      </c>
      <c r="D131" s="103" t="s">
        <v>73</v>
      </c>
      <c r="E131" s="45">
        <v>20000000</v>
      </c>
      <c r="F131" s="103"/>
      <c r="G131" s="103"/>
      <c r="H131" s="146">
        <f t="shared" si="18"/>
        <v>400000000</v>
      </c>
      <c r="I131" s="44"/>
      <c r="J131" s="137"/>
    </row>
    <row r="132" spans="1:10" s="102" customFormat="1" x14ac:dyDescent="0.2">
      <c r="A132" s="92"/>
      <c r="B132" s="303" t="s">
        <v>236</v>
      </c>
      <c r="C132" s="104">
        <v>6</v>
      </c>
      <c r="D132" s="103" t="s">
        <v>246</v>
      </c>
      <c r="E132" s="45">
        <v>8954882.5200000014</v>
      </c>
      <c r="F132" s="103"/>
      <c r="G132" s="103"/>
      <c r="H132" s="146">
        <f>E132*C132</f>
        <v>53729295.120000005</v>
      </c>
      <c r="I132" s="44"/>
      <c r="J132" s="137"/>
    </row>
    <row r="133" spans="1:10" s="102" customFormat="1" x14ac:dyDescent="0.2">
      <c r="A133" s="92"/>
      <c r="B133" s="303" t="s">
        <v>237</v>
      </c>
      <c r="C133" s="104">
        <v>4</v>
      </c>
      <c r="D133" s="103" t="s">
        <v>246</v>
      </c>
      <c r="E133" s="45">
        <v>19476574.949999999</v>
      </c>
      <c r="F133" s="103"/>
      <c r="G133" s="103"/>
      <c r="H133" s="146">
        <f>C133*E133</f>
        <v>77906299.799999997</v>
      </c>
      <c r="I133" s="44"/>
      <c r="J133" s="137"/>
    </row>
    <row r="134" spans="1:10" s="102" customFormat="1" x14ac:dyDescent="0.2">
      <c r="A134" s="92"/>
      <c r="B134" s="303" t="s">
        <v>238</v>
      </c>
      <c r="C134" s="104">
        <v>2</v>
      </c>
      <c r="D134" s="103" t="s">
        <v>246</v>
      </c>
      <c r="E134" s="45">
        <v>39597849.755999997</v>
      </c>
      <c r="F134" s="103"/>
      <c r="G134" s="103"/>
      <c r="H134" s="146">
        <f t="shared" ref="H134:H136" si="19">C134*E134</f>
        <v>79195699.511999995</v>
      </c>
      <c r="I134" s="44"/>
      <c r="J134" s="137"/>
    </row>
    <row r="135" spans="1:10" s="102" customFormat="1" x14ac:dyDescent="0.2">
      <c r="A135" s="92"/>
      <c r="B135" s="303" t="s">
        <v>210</v>
      </c>
      <c r="C135" s="103">
        <v>2</v>
      </c>
      <c r="D135" s="103" t="s">
        <v>244</v>
      </c>
      <c r="E135" s="45">
        <v>8963563</v>
      </c>
      <c r="F135" s="97"/>
      <c r="G135" s="103">
        <v>10</v>
      </c>
      <c r="H135" s="146">
        <f>C135*E135*G135</f>
        <v>179271260</v>
      </c>
      <c r="I135" s="44"/>
      <c r="J135" s="137"/>
    </row>
    <row r="136" spans="1:10" s="102" customFormat="1" x14ac:dyDescent="0.2">
      <c r="A136" s="92"/>
      <c r="B136" s="103" t="s">
        <v>227</v>
      </c>
      <c r="C136" s="104">
        <f>+(2*2*4)</f>
        <v>16</v>
      </c>
      <c r="D136" s="103" t="s">
        <v>244</v>
      </c>
      <c r="E136" s="45">
        <v>856561</v>
      </c>
      <c r="F136" s="103"/>
      <c r="G136" s="103"/>
      <c r="H136" s="146">
        <f t="shared" si="19"/>
        <v>13704976</v>
      </c>
      <c r="I136" s="44"/>
      <c r="J136" s="137"/>
    </row>
    <row r="137" spans="1:10" s="102" customFormat="1" x14ac:dyDescent="0.2">
      <c r="B137" s="103" t="s">
        <v>228</v>
      </c>
      <c r="C137" s="104">
        <v>10</v>
      </c>
      <c r="D137" s="103" t="s">
        <v>244</v>
      </c>
      <c r="E137" s="45">
        <v>6604729</v>
      </c>
      <c r="F137" s="97">
        <v>0.5</v>
      </c>
      <c r="G137" s="103">
        <v>10</v>
      </c>
      <c r="H137" s="146">
        <f>+E137*C137*G137*F137</f>
        <v>330236450</v>
      </c>
      <c r="I137" s="83"/>
      <c r="J137" s="137"/>
    </row>
    <row r="138" spans="1:10" x14ac:dyDescent="0.2">
      <c r="B138" s="81" t="s">
        <v>56</v>
      </c>
      <c r="C138" s="104">
        <v>10</v>
      </c>
      <c r="D138" s="103" t="s">
        <v>244</v>
      </c>
      <c r="E138" s="108">
        <v>1300000</v>
      </c>
      <c r="F138" s="97">
        <v>0.5</v>
      </c>
      <c r="G138" s="103">
        <v>10</v>
      </c>
      <c r="H138" s="146">
        <f t="shared" ref="H138:H139" si="20">+E138*C138*G138*F138</f>
        <v>65000000</v>
      </c>
      <c r="I138" s="44"/>
      <c r="J138" s="137"/>
    </row>
    <row r="139" spans="1:10" ht="15" x14ac:dyDescent="0.25">
      <c r="B139" s="81" t="s">
        <v>178</v>
      </c>
      <c r="C139" s="104">
        <v>10</v>
      </c>
      <c r="D139" s="103" t="s">
        <v>244</v>
      </c>
      <c r="E139" s="108">
        <v>155000</v>
      </c>
      <c r="F139" s="97">
        <v>0.5</v>
      </c>
      <c r="G139" s="103">
        <v>10</v>
      </c>
      <c r="H139" s="146">
        <f t="shared" si="20"/>
        <v>7750000</v>
      </c>
      <c r="I139" s="98" t="s">
        <v>159</v>
      </c>
      <c r="J139" s="52"/>
    </row>
    <row r="140" spans="1:10" ht="15" x14ac:dyDescent="0.25">
      <c r="B140" s="85" t="s">
        <v>247</v>
      </c>
      <c r="C140" s="86"/>
      <c r="D140" s="86"/>
      <c r="E140" s="87"/>
      <c r="F140" s="87"/>
      <c r="G140" s="86"/>
      <c r="H140" s="98">
        <f>SUM(H120:H139)</f>
        <v>2224993980.4320002</v>
      </c>
      <c r="I140" s="98">
        <f>H140/12</f>
        <v>185416165.03600001</v>
      </c>
      <c r="J140" s="52"/>
    </row>
    <row r="141" spans="1:10" s="102" customFormat="1" ht="15" x14ac:dyDescent="0.25">
      <c r="B141" s="141" t="s">
        <v>248</v>
      </c>
      <c r="C141" s="150"/>
      <c r="D141" s="150"/>
      <c r="E141" s="150"/>
      <c r="F141" s="150"/>
      <c r="G141" s="151"/>
      <c r="H141" s="152">
        <f>+H130+H131+H132</f>
        <v>975729295.12</v>
      </c>
      <c r="I141" s="101"/>
      <c r="J141" s="52"/>
    </row>
    <row r="142" spans="1:10" ht="297" customHeight="1" x14ac:dyDescent="0.2">
      <c r="B142" s="207" t="s">
        <v>381</v>
      </c>
    </row>
    <row r="143" spans="1:10" x14ac:dyDescent="0.2">
      <c r="B143" s="207"/>
    </row>
    <row r="144" spans="1:10" s="102" customFormat="1" ht="14.45" customHeight="1" x14ac:dyDescent="0.25">
      <c r="A144" s="91"/>
      <c r="B144" s="850" t="str">
        <f>+B11</f>
        <v>3.5. Mejora del entorno productivo para las grandes inversiones en las regiones maiceras.</v>
      </c>
      <c r="C144" s="850"/>
      <c r="D144" s="850"/>
      <c r="E144" s="850"/>
      <c r="F144" s="850"/>
      <c r="G144" s="850"/>
      <c r="H144" s="850"/>
    </row>
    <row r="145" spans="1:24" hidden="1" x14ac:dyDescent="0.2">
      <c r="B145" s="302"/>
      <c r="C145" s="302"/>
      <c r="D145" s="302"/>
      <c r="E145" s="302"/>
      <c r="F145" s="302"/>
      <c r="G145" s="302"/>
      <c r="H145" s="302"/>
    </row>
    <row r="146" spans="1:24" s="102" customFormat="1" ht="35.450000000000003" customHeight="1" x14ac:dyDescent="0.25">
      <c r="B146" s="860" t="str">
        <f>Portafolio_Cadena_Maíz!H53</f>
        <v>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v>
      </c>
      <c r="C146" s="861"/>
      <c r="D146" s="861"/>
      <c r="E146" s="861"/>
      <c r="F146" s="861"/>
      <c r="G146" s="861"/>
      <c r="H146" s="861"/>
      <c r="I146" s="414"/>
      <c r="X146" s="77"/>
    </row>
    <row r="147" spans="1:24" s="102" customFormat="1" ht="14.45" customHeight="1" x14ac:dyDescent="0.25">
      <c r="B147" s="860" t="str">
        <f>Portafolio_Cadena_Maíz!H54</f>
        <v>3.5.2. Promover la financiación, cofinanciación, incentivos, alianzas público - privadas, inversión directa, estructuración de proyectos, entre otras, que impulsen iniciativas de almacenamiento de granos a escala (elevadores en puertos secos).</v>
      </c>
      <c r="C147" s="861"/>
      <c r="D147" s="861"/>
      <c r="E147" s="861"/>
      <c r="F147" s="861"/>
      <c r="G147" s="861"/>
      <c r="H147" s="861"/>
      <c r="I147" s="414"/>
      <c r="X147" s="77"/>
    </row>
    <row r="148" spans="1:24" s="102" customFormat="1" ht="33.6" customHeight="1" x14ac:dyDescent="0.25">
      <c r="B148" s="860" t="str">
        <f>Portafolio_Cadena_Maíz!H55</f>
        <v>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v>
      </c>
      <c r="C148" s="861"/>
      <c r="D148" s="861"/>
      <c r="E148" s="861"/>
      <c r="F148" s="861"/>
      <c r="G148" s="861"/>
      <c r="H148" s="861"/>
      <c r="I148" s="414"/>
      <c r="X148" s="77"/>
    </row>
    <row r="149" spans="1:24" ht="30.6" customHeight="1" x14ac:dyDescent="0.25">
      <c r="B149" s="860" t="str">
        <f>Portafolio_Cadena_Maíz!H56</f>
        <v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v>
      </c>
      <c r="C149" s="861"/>
      <c r="D149" s="861"/>
      <c r="E149" s="861"/>
      <c r="F149" s="861"/>
      <c r="G149" s="861"/>
      <c r="H149" s="861"/>
    </row>
    <row r="150" spans="1:24" ht="33" customHeight="1" x14ac:dyDescent="0.25">
      <c r="B150" s="860" t="str">
        <f>Portafolio_Cadena_Maíz!H57</f>
        <v>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v>
      </c>
      <c r="C150" s="861"/>
      <c r="D150" s="861"/>
      <c r="E150" s="861"/>
      <c r="F150" s="861"/>
      <c r="G150" s="861"/>
      <c r="H150" s="861"/>
    </row>
    <row r="151" spans="1:24" ht="14.45" customHeight="1" x14ac:dyDescent="0.25">
      <c r="B151" s="860" t="str">
        <f>Portafolio_Cadena_Maíz!H58</f>
        <v>3.5.6. Incentivar la suscripción e implementación de contratos de futuros y otros instrumentos específicos de comercialización de maíz, de acuerdo con los avances de la actividad 9.3.7.</v>
      </c>
      <c r="C151" s="861"/>
      <c r="D151" s="861"/>
      <c r="E151" s="861"/>
      <c r="F151" s="861"/>
      <c r="G151" s="861"/>
      <c r="H151" s="861"/>
    </row>
    <row r="152" spans="1:24" ht="14.45" customHeight="1" x14ac:dyDescent="0.25">
      <c r="B152" s="860" t="str">
        <f>Portafolio_Cadena_Maíz!H59</f>
        <v>3.5.7. Orientar y brindar acompañamiento a los empresarios, para la constitución y uso de Zonas francas, como instrumento de promoción de grandes inversiones en la cadena de maíz.</v>
      </c>
      <c r="C152" s="861"/>
      <c r="D152" s="861"/>
      <c r="E152" s="861"/>
      <c r="F152" s="861"/>
      <c r="G152" s="861"/>
      <c r="H152" s="861"/>
    </row>
    <row r="153" spans="1:24" ht="14.45" customHeight="1" x14ac:dyDescent="0.25">
      <c r="B153" s="666"/>
      <c r="C153" s="667"/>
      <c r="D153" s="667"/>
      <c r="E153" s="667"/>
      <c r="F153" s="667"/>
      <c r="G153" s="667"/>
      <c r="H153" s="667"/>
    </row>
    <row r="154" spans="1:24" ht="14.45" customHeight="1" x14ac:dyDescent="0.25">
      <c r="B154" s="854"/>
      <c r="C154" s="855"/>
      <c r="D154" s="855"/>
      <c r="E154" s="855"/>
      <c r="F154" s="855"/>
      <c r="G154" s="855"/>
      <c r="H154" s="855"/>
    </row>
    <row r="155" spans="1:24" ht="15" x14ac:dyDescent="0.25">
      <c r="B155" s="857" t="s">
        <v>595</v>
      </c>
      <c r="C155" s="857"/>
      <c r="D155" s="857"/>
      <c r="E155" s="857"/>
      <c r="F155" s="857"/>
      <c r="G155" s="857"/>
      <c r="H155" s="857"/>
    </row>
    <row r="156" spans="1:24" ht="15" x14ac:dyDescent="0.25">
      <c r="B156" s="78" t="s">
        <v>68</v>
      </c>
      <c r="C156" s="78" t="s">
        <v>58</v>
      </c>
      <c r="D156" s="78" t="s">
        <v>55</v>
      </c>
      <c r="E156" s="78" t="s">
        <v>54</v>
      </c>
      <c r="F156" s="78" t="s">
        <v>69</v>
      </c>
      <c r="G156" s="78" t="s">
        <v>70</v>
      </c>
      <c r="H156" s="78" t="s">
        <v>71</v>
      </c>
      <c r="J156" s="52"/>
    </row>
    <row r="157" spans="1:24" s="102" customFormat="1" x14ac:dyDescent="0.2">
      <c r="A157" s="92"/>
      <c r="B157" s="103" t="s">
        <v>72</v>
      </c>
      <c r="C157" s="103">
        <v>6</v>
      </c>
      <c r="D157" s="103"/>
      <c r="E157" s="45">
        <v>500000</v>
      </c>
      <c r="F157" s="103"/>
      <c r="G157" s="103"/>
      <c r="H157" s="146">
        <f>+E157*C157</f>
        <v>3000000</v>
      </c>
      <c r="I157" s="84"/>
      <c r="J157" s="137"/>
    </row>
    <row r="158" spans="1:24" s="102" customFormat="1" x14ac:dyDescent="0.2">
      <c r="A158" s="92"/>
      <c r="B158" s="103" t="s">
        <v>74</v>
      </c>
      <c r="C158" s="103">
        <v>6</v>
      </c>
      <c r="D158" s="103"/>
      <c r="E158" s="45">
        <v>100000</v>
      </c>
      <c r="F158" s="103"/>
      <c r="G158" s="103"/>
      <c r="H158" s="146">
        <f t="shared" ref="H158:H163" si="21">+E158*C158</f>
        <v>600000</v>
      </c>
      <c r="I158" s="84"/>
      <c r="J158" s="137"/>
    </row>
    <row r="159" spans="1:24" s="102" customFormat="1" x14ac:dyDescent="0.2">
      <c r="A159" s="92"/>
      <c r="B159" s="103" t="s">
        <v>90</v>
      </c>
      <c r="C159" s="103">
        <v>6</v>
      </c>
      <c r="D159" s="103"/>
      <c r="E159" s="45">
        <v>2300000</v>
      </c>
      <c r="F159" s="103"/>
      <c r="G159" s="103"/>
      <c r="H159" s="146">
        <f t="shared" si="21"/>
        <v>13800000</v>
      </c>
      <c r="I159" s="44"/>
      <c r="J159" s="137"/>
    </row>
    <row r="160" spans="1:24" s="102" customFormat="1" x14ac:dyDescent="0.2">
      <c r="A160" s="92"/>
      <c r="B160" s="103" t="s">
        <v>91</v>
      </c>
      <c r="C160" s="103">
        <v>6</v>
      </c>
      <c r="D160" s="103"/>
      <c r="E160" s="45">
        <v>460000</v>
      </c>
      <c r="F160" s="103"/>
      <c r="G160" s="103"/>
      <c r="H160" s="146">
        <f t="shared" si="21"/>
        <v>2760000</v>
      </c>
      <c r="I160" s="44"/>
      <c r="J160" s="137"/>
    </row>
    <row r="161" spans="1:10" s="102" customFormat="1" x14ac:dyDescent="0.2">
      <c r="A161" s="92"/>
      <c r="B161" s="303" t="s">
        <v>238</v>
      </c>
      <c r="C161" s="103">
        <v>2</v>
      </c>
      <c r="D161" s="103"/>
      <c r="E161" s="45">
        <v>39597849.755999997</v>
      </c>
      <c r="F161" s="103"/>
      <c r="G161" s="103"/>
      <c r="H161" s="146">
        <f t="shared" si="21"/>
        <v>79195699.511999995</v>
      </c>
      <c r="I161" s="44"/>
      <c r="J161" s="137"/>
    </row>
    <row r="162" spans="1:10" s="102" customFormat="1" x14ac:dyDescent="0.2">
      <c r="A162" s="92"/>
      <c r="B162" s="103" t="s">
        <v>341</v>
      </c>
      <c r="C162" s="103">
        <v>5</v>
      </c>
      <c r="D162" s="103"/>
      <c r="E162" s="108">
        <v>9907096</v>
      </c>
      <c r="F162" s="103"/>
      <c r="G162" s="103">
        <v>10</v>
      </c>
      <c r="H162" s="146">
        <f>+E162*C162*G162</f>
        <v>495354800</v>
      </c>
      <c r="I162" s="83"/>
      <c r="J162" s="137"/>
    </row>
    <row r="163" spans="1:10" ht="15" x14ac:dyDescent="0.25">
      <c r="B163" s="103" t="s">
        <v>342</v>
      </c>
      <c r="C163" s="103">
        <v>4</v>
      </c>
      <c r="D163" s="103"/>
      <c r="E163" s="108">
        <v>1313122</v>
      </c>
      <c r="F163" s="97"/>
      <c r="G163" s="103"/>
      <c r="H163" s="146">
        <f t="shared" si="21"/>
        <v>5252488</v>
      </c>
      <c r="I163" s="98" t="s">
        <v>159</v>
      </c>
      <c r="J163" s="52"/>
    </row>
    <row r="164" spans="1:10" ht="15" x14ac:dyDescent="0.25">
      <c r="B164" s="103" t="s">
        <v>346</v>
      </c>
      <c r="C164" s="103"/>
      <c r="D164" s="103"/>
      <c r="E164" s="108"/>
      <c r="F164" s="97"/>
      <c r="G164" s="103"/>
      <c r="H164" s="146" t="s">
        <v>67</v>
      </c>
      <c r="I164" s="98"/>
      <c r="J164" s="52"/>
    </row>
    <row r="165" spans="1:10" s="102" customFormat="1" ht="15" x14ac:dyDescent="0.25">
      <c r="A165" s="92"/>
      <c r="B165" s="312" t="s">
        <v>344</v>
      </c>
      <c r="C165" s="312"/>
      <c r="D165" s="312"/>
      <c r="E165" s="312"/>
      <c r="F165" s="312"/>
      <c r="G165" s="312"/>
      <c r="H165" s="313">
        <f>SUM(H157:H163)</f>
        <v>599962987.51199996</v>
      </c>
      <c r="I165" s="98">
        <f>H165/12</f>
        <v>49996915.625999995</v>
      </c>
      <c r="J165" s="137"/>
    </row>
    <row r="166" spans="1:10" s="102" customFormat="1" ht="15" x14ac:dyDescent="0.25">
      <c r="A166" s="92"/>
      <c r="B166" s="314" t="s">
        <v>345</v>
      </c>
      <c r="C166" s="314"/>
      <c r="D166" s="314"/>
      <c r="E166" s="314"/>
      <c r="F166" s="314"/>
      <c r="G166" s="314"/>
      <c r="H166" s="315">
        <f>+H165-H161</f>
        <v>520767288</v>
      </c>
      <c r="I166" s="44"/>
      <c r="J166" s="137"/>
    </row>
    <row r="167" spans="1:10" s="102" customFormat="1" ht="108.6" customHeight="1" x14ac:dyDescent="0.2">
      <c r="A167" s="92"/>
      <c r="B167" s="319" t="s">
        <v>382</v>
      </c>
      <c r="C167" s="302"/>
      <c r="D167" s="140"/>
      <c r="E167" s="140"/>
      <c r="F167" s="101"/>
      <c r="G167" s="101"/>
      <c r="H167" s="316">
        <f>E167*C167</f>
        <v>0</v>
      </c>
      <c r="I167" s="44"/>
    </row>
  </sheetData>
  <sheetProtection algorithmName="SHA-512" hashValue="KV3DBeawvcfNEBhsdCsr6Nl24mDrRFZDdd2fPewDzUpSMiumZZmQM/VVfciLXkjPb/vfZquJoZJOw4DGhu7nAQ==" saltValue="NBvlrae85d7yxnUJyxANuQ==" spinCount="100000" sheet="1" objects="1" scenarios="1"/>
  <mergeCells count="37">
    <mergeCell ref="B14:H15"/>
    <mergeCell ref="B44:H44"/>
    <mergeCell ref="B76:H76"/>
    <mergeCell ref="B109:H109"/>
    <mergeCell ref="B50:H50"/>
    <mergeCell ref="B47:H47"/>
    <mergeCell ref="B48:H48"/>
    <mergeCell ref="B78:H78"/>
    <mergeCell ref="B79:H79"/>
    <mergeCell ref="B82:H82"/>
    <mergeCell ref="B46:H46"/>
    <mergeCell ref="B21:H21"/>
    <mergeCell ref="B16:H16"/>
    <mergeCell ref="B17:H17"/>
    <mergeCell ref="B18:H18"/>
    <mergeCell ref="B19:H19"/>
    <mergeCell ref="B22:H22"/>
    <mergeCell ref="B84:H84"/>
    <mergeCell ref="B112:H112"/>
    <mergeCell ref="B113:H113"/>
    <mergeCell ref="B154:H154"/>
    <mergeCell ref="B118:H118"/>
    <mergeCell ref="B144:H144"/>
    <mergeCell ref="B151:H151"/>
    <mergeCell ref="B115:H115"/>
    <mergeCell ref="B116:H116"/>
    <mergeCell ref="B111:H111"/>
    <mergeCell ref="B80:H80"/>
    <mergeCell ref="B81:H81"/>
    <mergeCell ref="B114:H114"/>
    <mergeCell ref="B155:H155"/>
    <mergeCell ref="B146:H146"/>
    <mergeCell ref="B147:H147"/>
    <mergeCell ref="B148:H148"/>
    <mergeCell ref="B149:H149"/>
    <mergeCell ref="B150:H150"/>
    <mergeCell ref="B152:H15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9"/>
  <sheetViews>
    <sheetView showGridLines="0" zoomScale="60" zoomScaleNormal="60" workbookViewId="0">
      <selection activeCell="B75" sqref="B75"/>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3.85546875" style="101" customWidth="1"/>
    <col min="5" max="5" width="22.42578125" style="101" customWidth="1"/>
    <col min="6" max="6" width="23" style="101" bestFit="1" customWidth="1"/>
    <col min="7" max="7" width="24.42578125" style="101" bestFit="1" customWidth="1"/>
    <col min="8" max="8" width="24.5703125" style="101" bestFit="1" customWidth="1"/>
    <col min="9" max="9" width="23.140625" style="101" bestFit="1" customWidth="1"/>
    <col min="10" max="10" width="24.5703125" style="101" bestFit="1" customWidth="1"/>
    <col min="11" max="11" width="22.42578125" style="101" customWidth="1"/>
    <col min="12" max="12" width="24.5703125" style="101" bestFit="1" customWidth="1"/>
    <col min="13" max="13" width="23.140625" style="101" bestFit="1" customWidth="1"/>
    <col min="14" max="14" width="24.5703125" style="101" bestFit="1" customWidth="1"/>
    <col min="15" max="24" width="23.140625" style="101" bestFit="1" customWidth="1"/>
    <col min="25" max="25" width="26.85546875" style="101" bestFit="1" customWidth="1"/>
    <col min="26" max="26" width="19.28515625" style="101" bestFit="1" customWidth="1"/>
    <col min="27" max="27" width="17.5703125"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Portafolio_Cadena_Maíz!C60</f>
        <v xml:space="preserve">4. Mejora de la gestión del agua y del suelo en el cultivo de maíz. </v>
      </c>
      <c r="C4" s="60"/>
      <c r="D4" s="102"/>
    </row>
    <row r="5" spans="1:26" ht="26.1" customHeight="1" x14ac:dyDescent="0.2">
      <c r="D5" s="102"/>
    </row>
    <row r="6" spans="1:26" ht="15" x14ac:dyDescent="0.25">
      <c r="D6" s="102"/>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166" customFormat="1" ht="26.25" customHeight="1" x14ac:dyDescent="0.25">
      <c r="A7" s="105"/>
      <c r="B7" s="163" t="s">
        <v>28</v>
      </c>
      <c r="C7" s="64" t="s">
        <v>66</v>
      </c>
      <c r="D7" s="64" t="s">
        <v>350</v>
      </c>
      <c r="E7" s="164">
        <f t="shared" ref="E7" si="0">SUM(E8:E9)</f>
        <v>706550282.5</v>
      </c>
      <c r="F7" s="164">
        <f>SUM(F8:F9)</f>
        <v>6375818191.2975283</v>
      </c>
      <c r="G7" s="164">
        <f t="shared" ref="G7:X7" si="1">SUM(G8:G9)</f>
        <v>5072797180.9921579</v>
      </c>
      <c r="H7" s="164">
        <f t="shared" si="1"/>
        <v>5106307181.5659819</v>
      </c>
      <c r="I7" s="164">
        <f t="shared" si="1"/>
        <v>5398523848.1008797</v>
      </c>
      <c r="J7" s="164">
        <f t="shared" si="1"/>
        <v>6414271734.3160105</v>
      </c>
      <c r="K7" s="164">
        <f t="shared" si="1"/>
        <v>7449962910.3792124</v>
      </c>
      <c r="L7" s="164">
        <f t="shared" si="1"/>
        <v>9145924801.4550552</v>
      </c>
      <c r="M7" s="164">
        <f t="shared" si="1"/>
        <v>10727946590.946068</v>
      </c>
      <c r="N7" s="164">
        <f t="shared" si="1"/>
        <v>13079505218.135281</v>
      </c>
      <c r="O7" s="164">
        <f t="shared" si="1"/>
        <v>10727946590.946068</v>
      </c>
      <c r="P7" s="164">
        <f t="shared" si="1"/>
        <v>8788326581.756855</v>
      </c>
      <c r="Q7" s="164">
        <f t="shared" si="1"/>
        <v>6865885818.2054834</v>
      </c>
      <c r="R7" s="164">
        <f t="shared" si="1"/>
        <v>5492708654.5643864</v>
      </c>
      <c r="S7" s="164">
        <f t="shared" si="1"/>
        <v>4394166923.6515093</v>
      </c>
      <c r="T7" s="164">
        <f t="shared" si="1"/>
        <v>3515333538.9212074</v>
      </c>
      <c r="U7" s="164">
        <f t="shared" si="1"/>
        <v>2812266831.1369658</v>
      </c>
      <c r="V7" s="164">
        <f t="shared" si="1"/>
        <v>2249813464.9095731</v>
      </c>
      <c r="W7" s="164">
        <f t="shared" si="1"/>
        <v>1799850771.9276586</v>
      </c>
      <c r="X7" s="164">
        <f t="shared" si="1"/>
        <v>1439880617.5421269</v>
      </c>
      <c r="Y7" s="164">
        <f>SUM(E7:X7)</f>
        <v>117563787733.25002</v>
      </c>
      <c r="Z7" s="165"/>
    </row>
    <row r="8" spans="1:26" s="70" customFormat="1" ht="45.75" customHeight="1" x14ac:dyDescent="0.2">
      <c r="A8" s="67"/>
      <c r="B8" s="68" t="str">
        <f>Portafolio_Cadena_Maíz!D60</f>
        <v>4.1. Contribución a la gestión del ordenamiento ambiental, fuera de la frontera agrícola.</v>
      </c>
      <c r="C8" s="143" t="s">
        <v>215</v>
      </c>
      <c r="D8" s="327" t="s">
        <v>351</v>
      </c>
      <c r="E8" s="69">
        <f>+H34*3</f>
        <v>205969309</v>
      </c>
      <c r="F8" s="69">
        <f>+H33</f>
        <v>823877236</v>
      </c>
      <c r="G8" s="69">
        <f>+H33</f>
        <v>823877236</v>
      </c>
      <c r="H8" s="69">
        <f>+H34*6</f>
        <v>411938618</v>
      </c>
      <c r="I8" s="69">
        <v>0</v>
      </c>
      <c r="J8" s="69">
        <f>+H34*3</f>
        <v>205969309</v>
      </c>
      <c r="K8" s="69">
        <v>0</v>
      </c>
      <c r="L8" s="69">
        <f>+H34*3</f>
        <v>205969309</v>
      </c>
      <c r="M8" s="69">
        <v>0</v>
      </c>
      <c r="N8" s="69">
        <f>+H34*3</f>
        <v>205969309</v>
      </c>
      <c r="O8" s="69">
        <v>0</v>
      </c>
      <c r="P8" s="69">
        <f>+H34*3</f>
        <v>205969309</v>
      </c>
      <c r="Q8" s="69"/>
      <c r="R8" s="69"/>
      <c r="S8" s="69"/>
      <c r="T8" s="69"/>
      <c r="U8" s="69"/>
      <c r="V8" s="69"/>
      <c r="W8" s="69"/>
      <c r="X8" s="69"/>
      <c r="Y8" s="69">
        <f>SUM(E8:X8)</f>
        <v>3089539635</v>
      </c>
      <c r="Z8" s="66"/>
    </row>
    <row r="9" spans="1:26" s="70" customFormat="1" ht="42.95" customHeight="1" x14ac:dyDescent="0.2">
      <c r="A9" s="67"/>
      <c r="B9" s="68" t="str">
        <f>Portafolio_Cadena_Maíz!D63</f>
        <v>4.2. Promoción del manejo eficiente del suelo y del agua, en la producción de maíz.</v>
      </c>
      <c r="C9" s="143" t="s">
        <v>215</v>
      </c>
      <c r="D9" s="327" t="s">
        <v>161</v>
      </c>
      <c r="E9" s="145">
        <f>I70*3</f>
        <v>500580973.5</v>
      </c>
      <c r="F9" s="69">
        <f>H70+I72+I73+I74</f>
        <v>5551940955.2975283</v>
      </c>
      <c r="G9" s="69">
        <f t="shared" ref="G9:X9" si="2">I70+J72+J73+J74</f>
        <v>4248919944.9921579</v>
      </c>
      <c r="H9" s="69">
        <f t="shared" si="2"/>
        <v>4694368563.5659819</v>
      </c>
      <c r="I9" s="69">
        <f t="shared" si="2"/>
        <v>5398523848.1008797</v>
      </c>
      <c r="J9" s="69">
        <f t="shared" si="2"/>
        <v>6208302425.3160105</v>
      </c>
      <c r="K9" s="69">
        <f t="shared" si="2"/>
        <v>7449962910.3792124</v>
      </c>
      <c r="L9" s="69">
        <f t="shared" si="2"/>
        <v>8939955492.4550552</v>
      </c>
      <c r="M9" s="69">
        <f t="shared" si="2"/>
        <v>10727946590.946068</v>
      </c>
      <c r="N9" s="69">
        <f t="shared" si="2"/>
        <v>12873535909.135281</v>
      </c>
      <c r="O9" s="69">
        <f t="shared" si="2"/>
        <v>10727946590.946068</v>
      </c>
      <c r="P9" s="69">
        <f t="shared" si="2"/>
        <v>8582357272.7568541</v>
      </c>
      <c r="Q9" s="69">
        <f t="shared" si="2"/>
        <v>6865885818.2054834</v>
      </c>
      <c r="R9" s="69">
        <f t="shared" si="2"/>
        <v>5492708654.5643864</v>
      </c>
      <c r="S9" s="69">
        <f t="shared" si="2"/>
        <v>4394166923.6515093</v>
      </c>
      <c r="T9" s="69">
        <f t="shared" si="2"/>
        <v>3515333538.9212074</v>
      </c>
      <c r="U9" s="69">
        <f t="shared" si="2"/>
        <v>2812266831.1369658</v>
      </c>
      <c r="V9" s="69">
        <f t="shared" si="2"/>
        <v>2249813464.9095731</v>
      </c>
      <c r="W9" s="69">
        <f t="shared" si="2"/>
        <v>1799850771.9276586</v>
      </c>
      <c r="X9" s="69">
        <f t="shared" si="2"/>
        <v>1439880617.5421269</v>
      </c>
      <c r="Y9" s="69">
        <f>SUM(E9:X9)</f>
        <v>114474248098.25002</v>
      </c>
      <c r="Z9" s="66"/>
    </row>
    <row r="10" spans="1:26" s="166" customFormat="1" ht="24.6" customHeight="1" x14ac:dyDescent="0.25">
      <c r="A10" s="105"/>
      <c r="B10" s="163" t="s">
        <v>32</v>
      </c>
      <c r="C10" s="163"/>
      <c r="D10" s="163"/>
      <c r="E10" s="167"/>
      <c r="F10" s="167"/>
      <c r="G10" s="167"/>
      <c r="H10" s="167"/>
      <c r="I10" s="167"/>
      <c r="J10" s="167"/>
      <c r="K10" s="167"/>
      <c r="L10" s="167"/>
      <c r="M10" s="167"/>
      <c r="N10" s="167"/>
      <c r="O10" s="167"/>
      <c r="P10" s="167"/>
      <c r="Q10" s="167"/>
      <c r="R10" s="167"/>
      <c r="S10" s="167"/>
      <c r="T10" s="167"/>
      <c r="U10" s="167"/>
      <c r="V10" s="167"/>
      <c r="W10" s="167"/>
      <c r="X10" s="167"/>
      <c r="Y10" s="167"/>
      <c r="Z10" s="165"/>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62" t="str">
        <f>B8</f>
        <v>4.1. Contribución a la gestión del ordenamiento ambiental, fuera de la frontera agrícola.</v>
      </c>
      <c r="C13" s="863"/>
      <c r="D13" s="863"/>
      <c r="E13" s="863"/>
      <c r="F13" s="863"/>
      <c r="G13" s="863"/>
      <c r="H13" s="863"/>
      <c r="I13" s="326"/>
      <c r="X13" s="77"/>
    </row>
    <row r="14" spans="1:26" s="102" customFormat="1" ht="14.45" customHeight="1" x14ac:dyDescent="0.25">
      <c r="B14" s="863"/>
      <c r="C14" s="863"/>
      <c r="D14" s="863"/>
      <c r="E14" s="863"/>
      <c r="F14" s="863"/>
      <c r="G14" s="863"/>
      <c r="H14" s="863"/>
      <c r="I14" s="326"/>
      <c r="X14" s="77"/>
    </row>
    <row r="15" spans="1:26" s="102" customFormat="1" ht="15" x14ac:dyDescent="0.25">
      <c r="B15" s="854" t="str">
        <f>Portafolio_Cadena_Maíz!H60</f>
        <v>4.1.1. Realizar campañas de sensibilización y divulgación de la normatividad relacionada con las áreas protegidas y de exclusión, a los productores de maíz con cultivos ubicados en estas áreas de importancia ambiental, fuera de la frontera agrícola.</v>
      </c>
      <c r="C15" s="855"/>
      <c r="D15" s="855"/>
      <c r="E15" s="855"/>
      <c r="F15" s="855"/>
      <c r="G15" s="855"/>
      <c r="H15" s="855"/>
      <c r="I15" s="414"/>
      <c r="X15" s="77"/>
    </row>
    <row r="16" spans="1:26" s="102" customFormat="1" ht="14.45" customHeight="1" x14ac:dyDescent="0.25">
      <c r="B16" s="854" t="str">
        <f>Portafolio_Cadena_Maíz!H61</f>
        <v>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v>
      </c>
      <c r="C16" s="855"/>
      <c r="D16" s="855"/>
      <c r="E16" s="855"/>
      <c r="F16" s="855"/>
      <c r="G16" s="855"/>
      <c r="H16" s="855"/>
      <c r="I16" s="414"/>
      <c r="X16" s="77"/>
    </row>
    <row r="17" spans="2:24" s="102" customFormat="1" ht="33.6" customHeight="1" x14ac:dyDescent="0.25">
      <c r="B17" s="854" t="str">
        <f>Portafolio_Cadena_Maíz!H62</f>
        <v>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v>
      </c>
      <c r="C17" s="855"/>
      <c r="D17" s="855"/>
      <c r="E17" s="855"/>
      <c r="F17" s="855"/>
      <c r="G17" s="855"/>
      <c r="H17" s="855"/>
      <c r="I17" s="414"/>
      <c r="X17" s="77"/>
    </row>
    <row r="18" spans="2:24" ht="30.6" customHeight="1" x14ac:dyDescent="0.25">
      <c r="B18" s="854" t="str">
        <f>Portafolio_Cadena_Maíz!H63</f>
        <v>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v>
      </c>
      <c r="C18" s="855"/>
      <c r="D18" s="855"/>
      <c r="E18" s="855"/>
      <c r="F18" s="855"/>
      <c r="G18" s="855"/>
      <c r="H18" s="855"/>
    </row>
    <row r="19" spans="2:24" ht="15" x14ac:dyDescent="0.25">
      <c r="B19" s="396"/>
      <c r="C19" s="415"/>
      <c r="D19" s="415"/>
      <c r="E19" s="415"/>
      <c r="F19" s="415"/>
      <c r="G19" s="415"/>
      <c r="H19" s="415"/>
    </row>
    <row r="20" spans="2:24" ht="15" x14ac:dyDescent="0.25">
      <c r="B20" s="854"/>
      <c r="C20" s="855"/>
      <c r="D20" s="855"/>
      <c r="E20" s="855"/>
      <c r="F20" s="855"/>
      <c r="G20" s="855"/>
      <c r="H20" s="855"/>
    </row>
    <row r="21" spans="2:24" ht="14.45" customHeight="1" x14ac:dyDescent="0.25">
      <c r="B21" s="858" t="s">
        <v>595</v>
      </c>
      <c r="C21" s="859"/>
      <c r="D21" s="859"/>
      <c r="E21" s="859"/>
      <c r="F21" s="859"/>
      <c r="G21" s="859"/>
      <c r="H21" s="859"/>
    </row>
    <row r="22" spans="2:24" s="105" customFormat="1" ht="22.5" customHeight="1" x14ac:dyDescent="0.25">
      <c r="B22" s="168" t="s">
        <v>68</v>
      </c>
      <c r="C22" s="168" t="s">
        <v>58</v>
      </c>
      <c r="D22" s="168" t="s">
        <v>55</v>
      </c>
      <c r="E22" s="168" t="s">
        <v>54</v>
      </c>
      <c r="F22" s="169" t="s">
        <v>96</v>
      </c>
      <c r="G22" s="168" t="s">
        <v>70</v>
      </c>
      <c r="H22" s="168" t="s">
        <v>71</v>
      </c>
      <c r="X22" s="170"/>
    </row>
    <row r="23" spans="2:24" x14ac:dyDescent="0.2">
      <c r="B23" s="171" t="s">
        <v>72</v>
      </c>
      <c r="C23" s="103">
        <v>7</v>
      </c>
      <c r="D23" s="103" t="s">
        <v>73</v>
      </c>
      <c r="E23" s="45">
        <v>500000</v>
      </c>
      <c r="F23" s="103"/>
      <c r="G23" s="103"/>
      <c r="H23" s="81">
        <f t="shared" ref="H23:H28" si="3">+C23*E23</f>
        <v>3500000</v>
      </c>
      <c r="I23" s="52"/>
    </row>
    <row r="24" spans="2:24" x14ac:dyDescent="0.2">
      <c r="B24" s="171" t="s">
        <v>74</v>
      </c>
      <c r="C24" s="103">
        <v>21</v>
      </c>
      <c r="D24" s="103" t="s">
        <v>73</v>
      </c>
      <c r="E24" s="45">
        <v>100000</v>
      </c>
      <c r="F24" s="103"/>
      <c r="G24" s="103"/>
      <c r="H24" s="81">
        <f t="shared" si="3"/>
        <v>2100000</v>
      </c>
      <c r="I24" s="52"/>
    </row>
    <row r="25" spans="2:24" x14ac:dyDescent="0.2">
      <c r="B25" s="171" t="s">
        <v>267</v>
      </c>
      <c r="C25" s="103">
        <v>7</v>
      </c>
      <c r="D25" s="103" t="s">
        <v>73</v>
      </c>
      <c r="E25" s="45">
        <v>2300000</v>
      </c>
      <c r="F25" s="103"/>
      <c r="G25" s="103"/>
      <c r="H25" s="81">
        <f t="shared" si="3"/>
        <v>16100000</v>
      </c>
      <c r="I25" s="52"/>
    </row>
    <row r="26" spans="2:24" x14ac:dyDescent="0.2">
      <c r="B26" s="171" t="s">
        <v>259</v>
      </c>
      <c r="C26" s="103">
        <v>21</v>
      </c>
      <c r="D26" s="103" t="s">
        <v>73</v>
      </c>
      <c r="E26" s="108">
        <v>460000</v>
      </c>
      <c r="F26" s="103"/>
      <c r="G26" s="103"/>
      <c r="H26" s="81">
        <f t="shared" si="3"/>
        <v>9660000</v>
      </c>
      <c r="I26" s="52"/>
    </row>
    <row r="27" spans="2:24" x14ac:dyDescent="0.2">
      <c r="B27" s="172" t="s">
        <v>60</v>
      </c>
      <c r="C27" s="48">
        <v>7</v>
      </c>
      <c r="D27" s="48" t="s">
        <v>73</v>
      </c>
      <c r="E27" s="148">
        <v>14500000</v>
      </c>
      <c r="F27" s="103"/>
      <c r="G27" s="103"/>
      <c r="H27" s="81">
        <f t="shared" si="3"/>
        <v>101500000</v>
      </c>
      <c r="I27" s="52"/>
    </row>
    <row r="28" spans="2:24" x14ac:dyDescent="0.2">
      <c r="B28" s="172" t="s">
        <v>268</v>
      </c>
      <c r="C28" s="48">
        <v>7</v>
      </c>
      <c r="D28" s="48" t="s">
        <v>73</v>
      </c>
      <c r="E28" s="148">
        <v>2000000</v>
      </c>
      <c r="F28" s="103"/>
      <c r="G28" s="103"/>
      <c r="H28" s="81">
        <f t="shared" si="3"/>
        <v>14000000</v>
      </c>
      <c r="I28" s="52"/>
    </row>
    <row r="29" spans="2:24" x14ac:dyDescent="0.2">
      <c r="B29" s="172" t="s">
        <v>228</v>
      </c>
      <c r="C29" s="48">
        <v>7</v>
      </c>
      <c r="D29" s="48" t="s">
        <v>180</v>
      </c>
      <c r="E29" s="148">
        <v>6604729</v>
      </c>
      <c r="F29" s="97">
        <v>1</v>
      </c>
      <c r="G29" s="103">
        <v>12</v>
      </c>
      <c r="H29" s="81">
        <f>+C29*E29*G29*F29</f>
        <v>554797236</v>
      </c>
      <c r="I29" s="52"/>
    </row>
    <row r="30" spans="2:24" x14ac:dyDescent="0.2">
      <c r="B30" s="172" t="s">
        <v>56</v>
      </c>
      <c r="C30" s="48">
        <v>7</v>
      </c>
      <c r="D30" s="48" t="s">
        <v>169</v>
      </c>
      <c r="E30" s="148">
        <v>1300000</v>
      </c>
      <c r="F30" s="97"/>
      <c r="G30" s="103">
        <v>12</v>
      </c>
      <c r="H30" s="81">
        <f>+C30*E30*G30</f>
        <v>109200000</v>
      </c>
      <c r="I30" s="52"/>
    </row>
    <row r="31" spans="2:24" x14ac:dyDescent="0.2">
      <c r="B31" s="172" t="s">
        <v>178</v>
      </c>
      <c r="C31" s="48">
        <v>7</v>
      </c>
      <c r="D31" s="48" t="s">
        <v>169</v>
      </c>
      <c r="E31" s="148">
        <v>155000</v>
      </c>
      <c r="F31" s="97"/>
      <c r="G31" s="103">
        <v>12</v>
      </c>
      <c r="H31" s="81">
        <f>+C31*E31*G31</f>
        <v>13020000</v>
      </c>
      <c r="I31" s="52"/>
    </row>
    <row r="32" spans="2:24" x14ac:dyDescent="0.2">
      <c r="B32" s="172" t="s">
        <v>177</v>
      </c>
      <c r="C32" s="48"/>
      <c r="D32" s="48"/>
      <c r="E32" s="148"/>
      <c r="F32" s="103"/>
      <c r="G32" s="103"/>
      <c r="H32" s="139" t="s">
        <v>67</v>
      </c>
      <c r="I32" s="52"/>
    </row>
    <row r="33" spans="1:24" s="105" customFormat="1" ht="15" x14ac:dyDescent="0.25">
      <c r="B33" s="173" t="s">
        <v>32</v>
      </c>
      <c r="C33" s="174"/>
      <c r="D33" s="174"/>
      <c r="E33" s="174"/>
      <c r="F33" s="175"/>
      <c r="G33" s="175"/>
      <c r="H33" s="176">
        <f>SUM(H23:H32)</f>
        <v>823877236</v>
      </c>
      <c r="J33" s="177"/>
    </row>
    <row r="34" spans="1:24" s="105" customFormat="1" ht="15" x14ac:dyDescent="0.2">
      <c r="B34" s="173" t="s">
        <v>269</v>
      </c>
      <c r="C34" s="356"/>
      <c r="D34" s="356"/>
      <c r="E34" s="356"/>
      <c r="F34" s="356"/>
      <c r="G34" s="356"/>
      <c r="H34" s="176">
        <f>+H33/12</f>
        <v>68656436.333333328</v>
      </c>
      <c r="I34" s="101"/>
      <c r="J34" s="177"/>
    </row>
    <row r="35" spans="1:24" s="102" customFormat="1" ht="155.25" customHeight="1" x14ac:dyDescent="0.2">
      <c r="B35" s="178" t="s">
        <v>270</v>
      </c>
      <c r="C35" s="325"/>
      <c r="D35" s="325"/>
      <c r="E35" s="325"/>
      <c r="F35" s="325"/>
      <c r="G35" s="325"/>
      <c r="H35" s="325"/>
    </row>
    <row r="36" spans="1:24" s="102" customFormat="1" ht="27" customHeight="1" x14ac:dyDescent="0.2">
      <c r="A36" s="91"/>
      <c r="B36" s="862" t="str">
        <f>B9</f>
        <v>4.2. Promoción del manejo eficiente del suelo y del agua, en la producción de maíz.</v>
      </c>
      <c r="C36" s="863"/>
      <c r="D36" s="863"/>
      <c r="E36" s="863"/>
      <c r="F36" s="863"/>
      <c r="G36" s="863"/>
      <c r="H36" s="863"/>
    </row>
    <row r="37" spans="1:24" s="102" customFormat="1" ht="15" x14ac:dyDescent="0.25">
      <c r="B37" s="854" t="str">
        <f>Portafolio_Cadena_Maíz!H63</f>
        <v>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v>
      </c>
      <c r="C37" s="855"/>
      <c r="D37" s="855"/>
      <c r="E37" s="855"/>
      <c r="F37" s="855"/>
      <c r="G37" s="855"/>
      <c r="H37" s="855"/>
      <c r="I37" s="414"/>
      <c r="X37" s="77"/>
    </row>
    <row r="38" spans="1:24" s="102" customFormat="1" ht="14.45" customHeight="1" x14ac:dyDescent="0.25">
      <c r="B38" s="854" t="str">
        <f>Portafolio_Cadena_Maíz!H64</f>
        <v>4.2.2. Realizar acompañamiento técnico a los productores en la implementación de los Planes Maestros de Reconversión Productiva - PMRP que se formulen para la cadena de maíz, en áreas con condicionantes ambientales para la producción, al interior de la frontera agrícola.</v>
      </c>
      <c r="C38" s="855"/>
      <c r="D38" s="855"/>
      <c r="E38" s="855"/>
      <c r="F38" s="855"/>
      <c r="G38" s="855"/>
      <c r="H38" s="855"/>
      <c r="I38" s="414"/>
      <c r="X38" s="77"/>
    </row>
    <row r="39" spans="1:24" s="102" customFormat="1" ht="33.6" customHeight="1" x14ac:dyDescent="0.25">
      <c r="B39" s="854" t="str">
        <f>Portafolio_Cadena_Maíz!H65</f>
        <v>4.2.3. Promover mecanismos financieros y no financieros dirigidos a la incorporación de buenas prácticas para la regeneración, uso y manejo sostenible, así como para el aumento de la fertilidad del suelo, en la producción de maíz.</v>
      </c>
      <c r="C39" s="855"/>
      <c r="D39" s="855"/>
      <c r="E39" s="855"/>
      <c r="F39" s="855"/>
      <c r="G39" s="855"/>
      <c r="H39" s="855"/>
      <c r="I39" s="414"/>
      <c r="X39" s="77"/>
    </row>
    <row r="40" spans="1:24" ht="30.6" customHeight="1" x14ac:dyDescent="0.25">
      <c r="B40" s="854" t="str">
        <f>Portafolio_Cadena_Maíz!H66</f>
        <v>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v>
      </c>
      <c r="C40" s="855"/>
      <c r="D40" s="855"/>
      <c r="E40" s="855"/>
      <c r="F40" s="855"/>
      <c r="G40" s="855"/>
      <c r="H40" s="855"/>
    </row>
    <row r="41" spans="1:24" ht="30.6" customHeight="1" x14ac:dyDescent="0.25">
      <c r="B41" s="854" t="str">
        <f>Portafolio_Cadena_Maíz!H67</f>
        <v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v>
      </c>
      <c r="C41" s="855"/>
      <c r="D41" s="855"/>
      <c r="E41" s="855"/>
      <c r="F41" s="855"/>
      <c r="G41" s="855"/>
      <c r="H41" s="855"/>
    </row>
    <row r="42" spans="1:24" ht="30.6" customHeight="1" x14ac:dyDescent="0.25">
      <c r="B42" s="854" t="str">
        <f>Portafolio_Cadena_Maíz!H68</f>
        <v xml:space="preserve">4.2.6. Promover la implementación del instrumento de Pago por Servicios Ambientales - PSA, en el marco de alianzas o acuerdos público - privados o entre privados, a través de procesos de divulgación y capacitación. </v>
      </c>
      <c r="C42" s="855"/>
      <c r="D42" s="855"/>
      <c r="E42" s="855"/>
      <c r="F42" s="855"/>
      <c r="G42" s="855"/>
      <c r="H42" s="855"/>
    </row>
    <row r="43" spans="1:24" ht="30.6" customHeight="1" x14ac:dyDescent="0.25">
      <c r="B43" s="854" t="str">
        <f>Portafolio_Cadena_Maíz!H69</f>
        <v>4.2.7. Implementar un mecanismo de monitoreo y reporte, del nivel de adopción e impacto de las buenas prácticas en el uso y manejo del suelo, y desarrollar mecanismos de monitoreo de la productividad hídrica en el cultivo de maíz, evaluando la eficiencia en el uso del agua.</v>
      </c>
      <c r="C43" s="855"/>
      <c r="D43" s="855"/>
      <c r="E43" s="855"/>
      <c r="F43" s="855"/>
      <c r="G43" s="855"/>
      <c r="H43" s="855"/>
    </row>
    <row r="44" spans="1:24" ht="30.6" customHeight="1" x14ac:dyDescent="0.25">
      <c r="B44" s="396"/>
      <c r="C44" s="415"/>
      <c r="D44" s="415"/>
      <c r="E44" s="415"/>
      <c r="F44" s="415"/>
      <c r="G44" s="415"/>
      <c r="H44" s="415"/>
    </row>
    <row r="45" spans="1:24" ht="15" x14ac:dyDescent="0.25">
      <c r="B45" s="858" t="s">
        <v>595</v>
      </c>
      <c r="C45" s="859"/>
      <c r="D45" s="859"/>
      <c r="E45" s="859"/>
      <c r="F45" s="859"/>
      <c r="G45" s="859"/>
      <c r="H45" s="859"/>
    </row>
    <row r="46" spans="1:24" s="105" customFormat="1" ht="18.75" customHeight="1" x14ac:dyDescent="0.25">
      <c r="B46" s="168" t="s">
        <v>68</v>
      </c>
      <c r="C46" s="168" t="s">
        <v>58</v>
      </c>
      <c r="D46" s="168" t="s">
        <v>55</v>
      </c>
      <c r="E46" s="168" t="s">
        <v>54</v>
      </c>
      <c r="F46" s="168" t="s">
        <v>69</v>
      </c>
      <c r="G46" s="168" t="s">
        <v>70</v>
      </c>
      <c r="H46" s="168" t="s">
        <v>71</v>
      </c>
    </row>
    <row r="47" spans="1:24" s="102" customFormat="1" x14ac:dyDescent="0.2">
      <c r="A47" s="92"/>
      <c r="B47" s="171" t="s">
        <v>72</v>
      </c>
      <c r="C47" s="103">
        <v>4</v>
      </c>
      <c r="D47" s="103" t="s">
        <v>73</v>
      </c>
      <c r="E47" s="179">
        <v>500000</v>
      </c>
      <c r="F47" s="103"/>
      <c r="G47" s="103"/>
      <c r="H47" s="81">
        <f t="shared" ref="H47:H61" si="4">+C47*E47</f>
        <v>2000000</v>
      </c>
      <c r="I47" s="44"/>
      <c r="J47" s="358"/>
    </row>
    <row r="48" spans="1:24" s="102" customFormat="1" x14ac:dyDescent="0.2">
      <c r="B48" s="171" t="s">
        <v>74</v>
      </c>
      <c r="C48" s="103">
        <v>19</v>
      </c>
      <c r="D48" s="103" t="s">
        <v>73</v>
      </c>
      <c r="E48" s="179">
        <v>100000</v>
      </c>
      <c r="F48" s="103"/>
      <c r="G48" s="103"/>
      <c r="H48" s="81">
        <f t="shared" si="4"/>
        <v>1900000</v>
      </c>
      <c r="I48" s="44"/>
      <c r="J48" s="358"/>
    </row>
    <row r="49" spans="1:10" s="102" customFormat="1" x14ac:dyDescent="0.2">
      <c r="A49" s="92"/>
      <c r="B49" s="171" t="s">
        <v>271</v>
      </c>
      <c r="C49" s="104">
        <v>4</v>
      </c>
      <c r="D49" s="103" t="s">
        <v>73</v>
      </c>
      <c r="E49" s="179">
        <v>2300000</v>
      </c>
      <c r="F49" s="103"/>
      <c r="G49" s="103"/>
      <c r="H49" s="81">
        <f t="shared" si="4"/>
        <v>9200000</v>
      </c>
      <c r="I49" s="83"/>
      <c r="J49" s="358"/>
    </row>
    <row r="50" spans="1:10" s="102" customFormat="1" x14ac:dyDescent="0.2">
      <c r="A50" s="92"/>
      <c r="B50" s="171" t="s">
        <v>267</v>
      </c>
      <c r="C50" s="104">
        <v>19</v>
      </c>
      <c r="D50" s="103" t="s">
        <v>73</v>
      </c>
      <c r="E50" s="179">
        <v>2300000</v>
      </c>
      <c r="F50" s="103"/>
      <c r="G50" s="103"/>
      <c r="H50" s="81">
        <f t="shared" si="4"/>
        <v>43700000</v>
      </c>
      <c r="I50" s="84"/>
      <c r="J50" s="358"/>
    </row>
    <row r="51" spans="1:10" s="102" customFormat="1" x14ac:dyDescent="0.2">
      <c r="B51" s="171" t="s">
        <v>259</v>
      </c>
      <c r="C51" s="104">
        <v>19</v>
      </c>
      <c r="D51" s="103" t="s">
        <v>73</v>
      </c>
      <c r="E51" s="179">
        <v>460000</v>
      </c>
      <c r="F51" s="103"/>
      <c r="G51" s="103"/>
      <c r="H51" s="81">
        <f t="shared" si="4"/>
        <v>8740000</v>
      </c>
      <c r="I51" s="83"/>
      <c r="J51" s="358"/>
    </row>
    <row r="52" spans="1:10" s="102" customFormat="1" x14ac:dyDescent="0.2">
      <c r="B52" s="171" t="s">
        <v>272</v>
      </c>
      <c r="C52" s="46">
        <v>10</v>
      </c>
      <c r="D52" s="103" t="s">
        <v>73</v>
      </c>
      <c r="E52" s="179">
        <v>5170000</v>
      </c>
      <c r="F52" s="103"/>
      <c r="G52" s="103"/>
      <c r="H52" s="81">
        <f t="shared" si="4"/>
        <v>51700000</v>
      </c>
      <c r="I52" s="83"/>
      <c r="J52" s="358"/>
    </row>
    <row r="53" spans="1:10" s="102" customFormat="1" x14ac:dyDescent="0.2">
      <c r="B53" s="171" t="s">
        <v>60</v>
      </c>
      <c r="C53" s="104">
        <v>4</v>
      </c>
      <c r="D53" s="103" t="s">
        <v>73</v>
      </c>
      <c r="E53" s="179">
        <v>14500000</v>
      </c>
      <c r="F53" s="103"/>
      <c r="G53" s="103"/>
      <c r="H53" s="81">
        <f t="shared" si="4"/>
        <v>58000000</v>
      </c>
      <c r="I53" s="83"/>
      <c r="J53" s="358"/>
    </row>
    <row r="54" spans="1:10" s="102" customFormat="1" x14ac:dyDescent="0.2">
      <c r="B54" s="171" t="s">
        <v>192</v>
      </c>
      <c r="C54" s="104">
        <v>4</v>
      </c>
      <c r="D54" s="103" t="s">
        <v>73</v>
      </c>
      <c r="E54" s="179">
        <v>2000000</v>
      </c>
      <c r="F54" s="103"/>
      <c r="G54" s="103"/>
      <c r="H54" s="81">
        <f t="shared" si="4"/>
        <v>8000000</v>
      </c>
      <c r="I54" s="83"/>
      <c r="J54" s="358"/>
    </row>
    <row r="55" spans="1:10" x14ac:dyDescent="0.2">
      <c r="B55" s="171" t="s">
        <v>273</v>
      </c>
      <c r="C55" s="104">
        <f>10*6</f>
        <v>60</v>
      </c>
      <c r="D55" s="103" t="s">
        <v>73</v>
      </c>
      <c r="E55" s="179">
        <v>3270000</v>
      </c>
      <c r="F55" s="103"/>
      <c r="G55" s="103"/>
      <c r="H55" s="81">
        <f t="shared" si="4"/>
        <v>196200000</v>
      </c>
      <c r="I55" s="44"/>
      <c r="J55" s="52"/>
    </row>
    <row r="56" spans="1:10" x14ac:dyDescent="0.2">
      <c r="B56" s="171" t="s">
        <v>76</v>
      </c>
      <c r="C56" s="103">
        <v>4</v>
      </c>
      <c r="D56" s="103" t="s">
        <v>274</v>
      </c>
      <c r="E56" s="179">
        <v>6000000</v>
      </c>
      <c r="F56" s="93"/>
      <c r="G56" s="103"/>
      <c r="H56" s="81">
        <f t="shared" si="4"/>
        <v>24000000</v>
      </c>
      <c r="I56" s="44"/>
      <c r="J56" s="52"/>
    </row>
    <row r="57" spans="1:10" x14ac:dyDescent="0.2">
      <c r="B57" s="171" t="s">
        <v>77</v>
      </c>
      <c r="C57" s="103">
        <v>10</v>
      </c>
      <c r="D57" s="103" t="s">
        <v>73</v>
      </c>
      <c r="E57" s="179">
        <v>1800000</v>
      </c>
      <c r="F57" s="96"/>
      <c r="G57" s="103"/>
      <c r="H57" s="81">
        <f t="shared" si="4"/>
        <v>18000000</v>
      </c>
      <c r="I57" s="44"/>
      <c r="J57" s="358"/>
    </row>
    <row r="58" spans="1:10" x14ac:dyDescent="0.2">
      <c r="B58" s="171" t="s">
        <v>162</v>
      </c>
      <c r="C58" s="103">
        <v>4</v>
      </c>
      <c r="D58" s="103" t="s">
        <v>275</v>
      </c>
      <c r="E58" s="179">
        <v>1500000</v>
      </c>
      <c r="F58" s="96"/>
      <c r="G58" s="103"/>
      <c r="H58" s="81">
        <f t="shared" si="4"/>
        <v>6000000</v>
      </c>
      <c r="I58" s="44"/>
      <c r="J58" s="358"/>
    </row>
    <row r="59" spans="1:10" x14ac:dyDescent="0.2">
      <c r="B59" s="171" t="s">
        <v>78</v>
      </c>
      <c r="C59" s="103">
        <v>10</v>
      </c>
      <c r="D59" s="103" t="s">
        <v>275</v>
      </c>
      <c r="E59" s="179">
        <v>450000</v>
      </c>
      <c r="F59" s="96"/>
      <c r="G59" s="103"/>
      <c r="H59" s="81">
        <f t="shared" si="4"/>
        <v>4500000</v>
      </c>
      <c r="I59" s="44"/>
      <c r="J59" s="358"/>
    </row>
    <row r="60" spans="1:10" x14ac:dyDescent="0.2">
      <c r="B60" s="368" t="s">
        <v>175</v>
      </c>
      <c r="C60" s="104">
        <v>4</v>
      </c>
      <c r="D60" s="104" t="s">
        <v>275</v>
      </c>
      <c r="E60" s="369">
        <v>3000000</v>
      </c>
      <c r="F60" s="363"/>
      <c r="G60" s="104"/>
      <c r="H60" s="81">
        <f t="shared" si="4"/>
        <v>12000000</v>
      </c>
      <c r="I60" s="44"/>
      <c r="J60" s="358"/>
    </row>
    <row r="61" spans="1:10" x14ac:dyDescent="0.2">
      <c r="B61" s="368" t="s">
        <v>176</v>
      </c>
      <c r="C61" s="104">
        <v>10</v>
      </c>
      <c r="D61" s="104" t="s">
        <v>275</v>
      </c>
      <c r="E61" s="369">
        <v>900000</v>
      </c>
      <c r="F61" s="200"/>
      <c r="G61" s="104"/>
      <c r="H61" s="81">
        <f t="shared" si="4"/>
        <v>9000000</v>
      </c>
      <c r="I61" s="44"/>
      <c r="J61" s="358"/>
    </row>
    <row r="62" spans="1:10" x14ac:dyDescent="0.2">
      <c r="B62" s="368" t="s">
        <v>210</v>
      </c>
      <c r="C62" s="104">
        <v>2</v>
      </c>
      <c r="D62" s="104" t="s">
        <v>180</v>
      </c>
      <c r="E62" s="369">
        <v>7862772</v>
      </c>
      <c r="F62" s="200">
        <v>1</v>
      </c>
      <c r="G62" s="104">
        <v>12</v>
      </c>
      <c r="H62" s="81">
        <f>+C62*E62*F62*G62</f>
        <v>188706528</v>
      </c>
      <c r="I62" s="44"/>
      <c r="J62" s="358"/>
    </row>
    <row r="63" spans="1:10" x14ac:dyDescent="0.2">
      <c r="B63" s="370" t="s">
        <v>80</v>
      </c>
      <c r="C63" s="46">
        <v>2</v>
      </c>
      <c r="D63" s="46" t="s">
        <v>73</v>
      </c>
      <c r="E63" s="371">
        <v>2682805</v>
      </c>
      <c r="F63" s="46"/>
      <c r="G63" s="46">
        <v>3</v>
      </c>
      <c r="H63" s="180">
        <f>+C63*E63*G63</f>
        <v>16096830</v>
      </c>
      <c r="I63" s="44"/>
      <c r="J63" s="358"/>
    </row>
    <row r="64" spans="1:10" x14ac:dyDescent="0.2">
      <c r="A64" s="42"/>
      <c r="B64" s="370" t="s">
        <v>228</v>
      </c>
      <c r="C64" s="46">
        <v>10</v>
      </c>
      <c r="D64" s="46" t="s">
        <v>180</v>
      </c>
      <c r="E64" s="371">
        <v>6604729</v>
      </c>
      <c r="F64" s="363">
        <v>1</v>
      </c>
      <c r="G64" s="46">
        <v>12</v>
      </c>
      <c r="H64" s="180">
        <f>+C64*E64*F64*G64</f>
        <v>792567480</v>
      </c>
      <c r="I64" s="44"/>
      <c r="J64" s="359"/>
    </row>
    <row r="65" spans="1:28" x14ac:dyDescent="0.2">
      <c r="A65" s="42"/>
      <c r="B65" s="370" t="s">
        <v>56</v>
      </c>
      <c r="C65" s="46">
        <v>10</v>
      </c>
      <c r="D65" s="46" t="s">
        <v>169</v>
      </c>
      <c r="E65" s="371">
        <v>1300000</v>
      </c>
      <c r="F65" s="363"/>
      <c r="G65" s="46">
        <v>12</v>
      </c>
      <c r="H65" s="149">
        <f>+C65*E65*G65</f>
        <v>156000000</v>
      </c>
      <c r="I65" s="44"/>
      <c r="J65" s="359"/>
    </row>
    <row r="66" spans="1:28" x14ac:dyDescent="0.2">
      <c r="A66" s="42"/>
      <c r="B66" s="370" t="s">
        <v>178</v>
      </c>
      <c r="C66" s="46">
        <v>10</v>
      </c>
      <c r="D66" s="46" t="s">
        <v>169</v>
      </c>
      <c r="E66" s="180">
        <v>155000</v>
      </c>
      <c r="F66" s="200"/>
      <c r="G66" s="104">
        <v>12</v>
      </c>
      <c r="H66" s="81">
        <f>+C66*E66*G66</f>
        <v>18600000</v>
      </c>
      <c r="I66" s="44"/>
      <c r="J66" s="359"/>
    </row>
    <row r="67" spans="1:28" x14ac:dyDescent="0.2">
      <c r="B67" s="370" t="s">
        <v>276</v>
      </c>
      <c r="C67" s="46">
        <v>4</v>
      </c>
      <c r="D67" s="46" t="s">
        <v>180</v>
      </c>
      <c r="E67" s="371">
        <v>7862772</v>
      </c>
      <c r="F67" s="363">
        <v>1</v>
      </c>
      <c r="G67" s="46">
        <v>12</v>
      </c>
      <c r="H67" s="180">
        <f>+C67*E67*F67*G67</f>
        <v>377413056</v>
      </c>
      <c r="I67" s="44"/>
      <c r="J67" s="359"/>
    </row>
    <row r="68" spans="1:28" x14ac:dyDescent="0.2">
      <c r="B68" s="368" t="s">
        <v>277</v>
      </c>
      <c r="C68" s="104"/>
      <c r="D68" s="104"/>
      <c r="E68" s="81"/>
      <c r="F68" s="104"/>
      <c r="G68" s="104"/>
      <c r="H68" s="181" t="s">
        <v>67</v>
      </c>
      <c r="I68" s="44"/>
      <c r="J68" s="52"/>
    </row>
    <row r="69" spans="1:28" ht="15" x14ac:dyDescent="0.2">
      <c r="B69" s="104" t="s">
        <v>171</v>
      </c>
      <c r="C69" s="104"/>
      <c r="D69" s="104"/>
      <c r="E69" s="81"/>
      <c r="F69" s="104"/>
      <c r="G69" s="104"/>
      <c r="H69" s="43" t="s">
        <v>67</v>
      </c>
      <c r="I69" s="182" t="s">
        <v>159</v>
      </c>
      <c r="J69" s="52"/>
    </row>
    <row r="70" spans="1:28" s="105" customFormat="1" ht="20.25" customHeight="1" x14ac:dyDescent="0.25">
      <c r="B70" s="173" t="s">
        <v>243</v>
      </c>
      <c r="C70" s="174"/>
      <c r="D70" s="174"/>
      <c r="E70" s="175"/>
      <c r="F70" s="175"/>
      <c r="G70" s="174"/>
      <c r="H70" s="182">
        <f>SUM(H47:H67)</f>
        <v>2002323894</v>
      </c>
      <c r="I70" s="408">
        <f>H70/12</f>
        <v>166860324.5</v>
      </c>
    </row>
    <row r="71" spans="1:28" s="105" customFormat="1" ht="20.25" customHeight="1" x14ac:dyDescent="0.25">
      <c r="B71" s="173" t="s">
        <v>598</v>
      </c>
      <c r="C71" s="183"/>
      <c r="D71" s="183"/>
      <c r="E71" s="183"/>
      <c r="F71" s="183"/>
      <c r="G71" s="183"/>
      <c r="H71" s="183"/>
      <c r="I71" s="409">
        <v>2</v>
      </c>
      <c r="J71" s="409">
        <v>3</v>
      </c>
      <c r="K71" s="409">
        <v>4</v>
      </c>
      <c r="L71" s="409">
        <v>5</v>
      </c>
      <c r="M71" s="409">
        <v>6</v>
      </c>
      <c r="N71" s="409">
        <v>7</v>
      </c>
      <c r="O71" s="409">
        <v>8</v>
      </c>
      <c r="P71" s="409">
        <v>9</v>
      </c>
      <c r="Q71" s="409">
        <v>10</v>
      </c>
      <c r="R71" s="409">
        <v>11</v>
      </c>
      <c r="S71" s="409">
        <v>12</v>
      </c>
      <c r="T71" s="409">
        <v>13</v>
      </c>
      <c r="U71" s="409">
        <v>14</v>
      </c>
      <c r="V71" s="409">
        <v>15</v>
      </c>
      <c r="W71" s="409">
        <v>16</v>
      </c>
      <c r="X71" s="409">
        <v>17</v>
      </c>
      <c r="Y71" s="409">
        <v>18</v>
      </c>
      <c r="Z71" s="409">
        <v>19</v>
      </c>
      <c r="AA71" s="409">
        <v>20</v>
      </c>
      <c r="AB71" s="409" t="s">
        <v>32</v>
      </c>
    </row>
    <row r="72" spans="1:28" s="105" customFormat="1" ht="20.25" customHeight="1" x14ac:dyDescent="0.25">
      <c r="B72" s="407" t="s">
        <v>597</v>
      </c>
      <c r="C72" s="102"/>
      <c r="D72" s="102"/>
      <c r="E72" s="102"/>
      <c r="F72" s="102"/>
      <c r="G72" s="102"/>
      <c r="H72" s="102"/>
      <c r="I72" s="405">
        <v>1017934112.0273621</v>
      </c>
      <c r="J72" s="405">
        <v>1170624228.8314667</v>
      </c>
      <c r="K72" s="405">
        <v>1346217863.1561868</v>
      </c>
      <c r="L72" s="405">
        <v>1548150542.6296148</v>
      </c>
      <c r="M72" s="405">
        <v>1780373124.0240569</v>
      </c>
      <c r="N72" s="405">
        <v>2136447748.8288679</v>
      </c>
      <c r="O72" s="405">
        <v>2563737298.5946422</v>
      </c>
      <c r="P72" s="405">
        <v>3076484758.3135705</v>
      </c>
      <c r="Q72" s="405">
        <v>3691781709.9762845</v>
      </c>
      <c r="R72" s="405">
        <v>3076484758.3135705</v>
      </c>
      <c r="S72" s="405">
        <v>2461187806.6508565</v>
      </c>
      <c r="T72" s="405">
        <v>1968950245.3206854</v>
      </c>
      <c r="U72" s="405">
        <v>1575160196.2565482</v>
      </c>
      <c r="V72" s="405">
        <v>1260128157.0052385</v>
      </c>
      <c r="W72" s="405">
        <v>1008102525.6041908</v>
      </c>
      <c r="X72" s="405">
        <v>806482020.48335266</v>
      </c>
      <c r="Y72" s="405">
        <v>645185616.38668227</v>
      </c>
      <c r="Z72" s="405">
        <v>516148493.10934573</v>
      </c>
      <c r="AA72" s="405">
        <v>412918794.48747665</v>
      </c>
      <c r="AB72" s="405">
        <v>32062500000</v>
      </c>
    </row>
    <row r="73" spans="1:28" s="105" customFormat="1" ht="20.25" customHeight="1" x14ac:dyDescent="0.25">
      <c r="B73" s="410" t="s">
        <v>599</v>
      </c>
      <c r="C73" s="102"/>
      <c r="D73" s="102"/>
      <c r="E73" s="102"/>
      <c r="F73" s="102"/>
      <c r="G73" s="102"/>
      <c r="H73" s="102"/>
      <c r="I73" s="410">
        <v>1808344963.7644041</v>
      </c>
      <c r="J73" s="410">
        <v>2079596708.3290651</v>
      </c>
      <c r="K73" s="410">
        <v>2391536214.5784245</v>
      </c>
      <c r="L73" s="410">
        <v>2750266646.7651887</v>
      </c>
      <c r="M73" s="410">
        <v>3162806643.7799668</v>
      </c>
      <c r="N73" s="410">
        <v>3795367972.5359597</v>
      </c>
      <c r="O73" s="410">
        <v>4554441567.0431528</v>
      </c>
      <c r="P73" s="410">
        <v>5465329880.4517841</v>
      </c>
      <c r="Q73" s="410">
        <v>6558395856.54214</v>
      </c>
      <c r="R73" s="410">
        <v>5465329880.4517841</v>
      </c>
      <c r="S73" s="410">
        <v>4372263904.3614264</v>
      </c>
      <c r="T73" s="410">
        <v>3497811123.4891415</v>
      </c>
      <c r="U73" s="410">
        <v>2798248898.7913127</v>
      </c>
      <c r="V73" s="410">
        <v>2238599119.0330505</v>
      </c>
      <c r="W73" s="410">
        <v>1790879295.2264402</v>
      </c>
      <c r="X73" s="410">
        <v>1432703436.1811523</v>
      </c>
      <c r="Y73" s="410">
        <v>1146162748.944922</v>
      </c>
      <c r="Z73" s="410">
        <v>916930199.15593767</v>
      </c>
      <c r="AA73" s="410">
        <v>733544159.32475007</v>
      </c>
      <c r="AB73" s="410">
        <v>56958559218.75</v>
      </c>
    </row>
    <row r="74" spans="1:28" s="105" customFormat="1" ht="20.25" customHeight="1" x14ac:dyDescent="0.25">
      <c r="B74" s="411" t="s">
        <v>600</v>
      </c>
      <c r="C74" s="102"/>
      <c r="D74" s="102"/>
      <c r="E74" s="102"/>
      <c r="F74" s="102"/>
      <c r="G74" s="102"/>
      <c r="H74" s="102"/>
      <c r="I74" s="411">
        <v>723337985.50576174</v>
      </c>
      <c r="J74" s="411">
        <v>831838683.33162606</v>
      </c>
      <c r="K74" s="411">
        <v>956614485.83137</v>
      </c>
      <c r="L74" s="411">
        <v>1100106658.7060757</v>
      </c>
      <c r="M74" s="411">
        <v>1265122657.511987</v>
      </c>
      <c r="N74" s="411">
        <v>1518147189.014384</v>
      </c>
      <c r="O74" s="411">
        <v>1821776626.8172612</v>
      </c>
      <c r="P74" s="411">
        <v>2186131952.1807141</v>
      </c>
      <c r="Q74" s="411">
        <v>2623358342.6168561</v>
      </c>
      <c r="R74" s="411">
        <v>2186131952.1807141</v>
      </c>
      <c r="S74" s="411">
        <v>1748905561.744571</v>
      </c>
      <c r="T74" s="411">
        <v>1399124449.3956568</v>
      </c>
      <c r="U74" s="411">
        <v>1119299559.5165253</v>
      </c>
      <c r="V74" s="411">
        <v>895439647.61322033</v>
      </c>
      <c r="W74" s="411">
        <v>716351718.09057617</v>
      </c>
      <c r="X74" s="411">
        <v>573081374.47246099</v>
      </c>
      <c r="Y74" s="411">
        <v>458465099.57796884</v>
      </c>
      <c r="Z74" s="411">
        <v>366772079.66237509</v>
      </c>
      <c r="AA74" s="411">
        <v>293417663.72990012</v>
      </c>
      <c r="AB74" s="411">
        <v>22783423687.500004</v>
      </c>
    </row>
    <row r="75" spans="1:28" ht="356.45" customHeight="1" x14ac:dyDescent="0.2">
      <c r="B75" s="416" t="s">
        <v>606</v>
      </c>
      <c r="C75" s="102"/>
      <c r="D75" s="102"/>
      <c r="E75" s="102"/>
      <c r="F75" s="102"/>
      <c r="G75" s="102"/>
    </row>
    <row r="77" spans="1:28" x14ac:dyDescent="0.2">
      <c r="G77" s="184"/>
    </row>
    <row r="78" spans="1:28" x14ac:dyDescent="0.2">
      <c r="B78" s="42"/>
      <c r="C78" s="185"/>
      <c r="D78" s="186"/>
      <c r="E78" s="185"/>
      <c r="F78" s="185"/>
      <c r="G78" s="185"/>
      <c r="H78" s="115"/>
    </row>
    <row r="79" spans="1:28" x14ac:dyDescent="0.2">
      <c r="B79" s="42"/>
    </row>
    <row r="81" spans="4:8" x14ac:dyDescent="0.2">
      <c r="F81" s="52"/>
      <c r="H81" s="115"/>
    </row>
    <row r="82" spans="4:8" x14ac:dyDescent="0.2">
      <c r="F82" s="52"/>
      <c r="H82" s="52"/>
    </row>
    <row r="83" spans="4:8" x14ac:dyDescent="0.2">
      <c r="D83" s="52"/>
    </row>
    <row r="84" spans="4:8" x14ac:dyDescent="0.2">
      <c r="D84" s="52"/>
    </row>
    <row r="85" spans="4:8" x14ac:dyDescent="0.2">
      <c r="F85" s="115"/>
    </row>
    <row r="88" spans="4:8" x14ac:dyDescent="0.2">
      <c r="D88" s="52"/>
      <c r="E88" s="52"/>
    </row>
    <row r="96" spans="4:8" x14ac:dyDescent="0.2">
      <c r="F96" s="52"/>
      <c r="G96" s="52"/>
    </row>
    <row r="97" spans="6:7" x14ac:dyDescent="0.2">
      <c r="F97" s="52"/>
      <c r="G97" s="52"/>
    </row>
    <row r="98" spans="6:7" x14ac:dyDescent="0.2">
      <c r="F98" s="52"/>
      <c r="G98" s="52"/>
    </row>
    <row r="99" spans="6:7" x14ac:dyDescent="0.2">
      <c r="F99" s="52"/>
      <c r="G99" s="52"/>
    </row>
    <row r="100" spans="6:7" x14ac:dyDescent="0.2">
      <c r="F100" s="52"/>
      <c r="G100" s="52"/>
    </row>
    <row r="101" spans="6:7" x14ac:dyDescent="0.2">
      <c r="F101" s="52"/>
      <c r="G101" s="52"/>
    </row>
    <row r="102" spans="6:7" x14ac:dyDescent="0.2">
      <c r="F102" s="52"/>
      <c r="G102" s="52"/>
    </row>
    <row r="103" spans="6:7" x14ac:dyDescent="0.2">
      <c r="F103" s="52"/>
      <c r="G103" s="52"/>
    </row>
    <row r="104" spans="6:7" x14ac:dyDescent="0.2">
      <c r="F104" s="52"/>
      <c r="G104" s="52"/>
    </row>
    <row r="105" spans="6:7" x14ac:dyDescent="0.2">
      <c r="F105" s="52"/>
      <c r="G105" s="52"/>
    </row>
    <row r="106" spans="6:7" x14ac:dyDescent="0.2">
      <c r="F106" s="52"/>
      <c r="G106" s="52"/>
    </row>
    <row r="107" spans="6:7" x14ac:dyDescent="0.2">
      <c r="F107" s="52"/>
      <c r="G107" s="52"/>
    </row>
    <row r="108" spans="6:7" x14ac:dyDescent="0.2">
      <c r="F108" s="52"/>
      <c r="G108" s="52"/>
    </row>
    <row r="109" spans="6:7" x14ac:dyDescent="0.2">
      <c r="F109" s="52"/>
      <c r="G109" s="52"/>
    </row>
    <row r="110" spans="6:7" x14ac:dyDescent="0.2">
      <c r="F110" s="52"/>
      <c r="G110" s="52"/>
    </row>
    <row r="111" spans="6:7" x14ac:dyDescent="0.2">
      <c r="F111" s="52"/>
      <c r="G111" s="52"/>
    </row>
    <row r="112" spans="6:7" x14ac:dyDescent="0.2">
      <c r="F112" s="52"/>
      <c r="G112" s="52"/>
    </row>
    <row r="113" spans="6:7" x14ac:dyDescent="0.2">
      <c r="F113" s="52"/>
      <c r="G113" s="52"/>
    </row>
    <row r="114" spans="6:7" x14ac:dyDescent="0.2">
      <c r="F114" s="52"/>
      <c r="G114" s="52"/>
    </row>
    <row r="115" spans="6:7" x14ac:dyDescent="0.2">
      <c r="F115" s="52"/>
      <c r="G115" s="52"/>
    </row>
    <row r="116" spans="6:7" x14ac:dyDescent="0.2">
      <c r="F116" s="52"/>
      <c r="G116" s="52"/>
    </row>
    <row r="119" spans="6:7" x14ac:dyDescent="0.2">
      <c r="G119" s="52"/>
    </row>
  </sheetData>
  <sheetProtection algorithmName="SHA-512" hashValue="ZQHRFCd9XviUCEqLh4Gwc9XzM5KoTOIV5KRpQXakNjlNB48sZ+ToYrCHz8Glk1RtEAKfxHvVF+AyszrslQyYQA==" saltValue="QZfBZBJiiEVs2oMUPa9zoA==" spinCount="100000" sheet="1" objects="1" scenarios="1"/>
  <mergeCells count="16">
    <mergeCell ref="B13:H14"/>
    <mergeCell ref="B36:H36"/>
    <mergeCell ref="B15:H15"/>
    <mergeCell ref="B16:H16"/>
    <mergeCell ref="B17:H17"/>
    <mergeCell ref="B18:H18"/>
    <mergeCell ref="B20:H20"/>
    <mergeCell ref="B21:H21"/>
    <mergeCell ref="B42:H42"/>
    <mergeCell ref="B43:H43"/>
    <mergeCell ref="B45:H45"/>
    <mergeCell ref="B37:H37"/>
    <mergeCell ref="B38:H38"/>
    <mergeCell ref="B39:H39"/>
    <mergeCell ref="B40:H40"/>
    <mergeCell ref="B41:H4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showGridLines="0" zoomScale="60" zoomScaleNormal="60" workbookViewId="0">
      <selection activeCell="I44" sqref="I44"/>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2.28515625" style="101" customWidth="1"/>
    <col min="5" max="5" width="22.42578125" style="101" customWidth="1"/>
    <col min="6" max="6" width="19.85546875" style="101" bestFit="1" customWidth="1"/>
    <col min="7" max="7" width="18.42578125" style="101" bestFit="1" customWidth="1"/>
    <col min="8" max="8" width="23" style="101" bestFit="1" customWidth="1"/>
    <col min="9" max="9" width="19.7109375" style="101" customWidth="1"/>
    <col min="10" max="10" width="17.42578125" style="101" bestFit="1" customWidth="1"/>
    <col min="11" max="11" width="18.28515625" style="101" bestFit="1" customWidth="1"/>
    <col min="12" max="12" width="19.140625" style="101" bestFit="1" customWidth="1"/>
    <col min="13" max="13" width="17.42578125" style="101" bestFit="1" customWidth="1"/>
    <col min="14" max="14" width="18.5703125" style="101" bestFit="1" customWidth="1"/>
    <col min="15" max="15" width="17.42578125" style="101" bestFit="1" customWidth="1"/>
    <col min="16" max="16" width="17.5703125" style="101" customWidth="1"/>
    <col min="17" max="17" width="18.5703125" style="101" bestFit="1" customWidth="1"/>
    <col min="18" max="18" width="17.42578125" style="101" bestFit="1" customWidth="1"/>
    <col min="19" max="19" width="17.5703125" style="101" bestFit="1" customWidth="1"/>
    <col min="20" max="20" width="18.42578125" style="101" bestFit="1" customWidth="1"/>
    <col min="21" max="22" width="17.42578125" style="101" bestFit="1" customWidth="1"/>
    <col min="23" max="23" width="18.5703125" style="101" bestFit="1" customWidth="1"/>
    <col min="24" max="24" width="19.140625" style="101" bestFit="1" customWidth="1"/>
    <col min="25" max="25" width="19"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Portafolio_Cadena_Maíz!C70</f>
        <v>5. Fortalecimiento de la gestión ambiental en la cadena maicera.</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350</v>
      </c>
      <c r="E7" s="65">
        <f t="shared" ref="E7:X7" si="0">SUM(E8:E8)</f>
        <v>674788448.37700009</v>
      </c>
      <c r="F7" s="65">
        <f t="shared" si="0"/>
        <v>2699153793.5080004</v>
      </c>
      <c r="G7" s="65">
        <f t="shared" si="0"/>
        <v>2699153793.5080004</v>
      </c>
      <c r="H7" s="65">
        <f t="shared" si="0"/>
        <v>2024365345.1310003</v>
      </c>
      <c r="I7" s="65">
        <f t="shared" si="0"/>
        <v>0</v>
      </c>
      <c r="J7" s="65">
        <f t="shared" si="0"/>
        <v>0</v>
      </c>
      <c r="K7" s="65">
        <f t="shared" si="0"/>
        <v>2699153793.5080004</v>
      </c>
      <c r="L7" s="65">
        <f t="shared" si="0"/>
        <v>0</v>
      </c>
      <c r="M7" s="65">
        <f t="shared" si="0"/>
        <v>0</v>
      </c>
      <c r="N7" s="65">
        <f t="shared" si="0"/>
        <v>2699153793.5080004</v>
      </c>
      <c r="O7" s="65">
        <f t="shared" si="0"/>
        <v>0</v>
      </c>
      <c r="P7" s="65">
        <f t="shared" si="0"/>
        <v>0</v>
      </c>
      <c r="Q7" s="65">
        <f t="shared" si="0"/>
        <v>2699153793.5080004</v>
      </c>
      <c r="R7" s="65">
        <f t="shared" si="0"/>
        <v>0</v>
      </c>
      <c r="S7" s="65">
        <f t="shared" si="0"/>
        <v>0</v>
      </c>
      <c r="T7" s="65">
        <f t="shared" si="0"/>
        <v>2699153793.5080004</v>
      </c>
      <c r="U7" s="65">
        <f t="shared" si="0"/>
        <v>0</v>
      </c>
      <c r="V7" s="65">
        <f t="shared" si="0"/>
        <v>0</v>
      </c>
      <c r="W7" s="65">
        <f t="shared" si="0"/>
        <v>2699153793.5080004</v>
      </c>
      <c r="X7" s="65">
        <f t="shared" si="0"/>
        <v>0</v>
      </c>
      <c r="Y7" s="65">
        <f>SUM(E7:X7)</f>
        <v>21593230348.063999</v>
      </c>
      <c r="Z7" s="66"/>
    </row>
    <row r="8" spans="1:26" s="70" customFormat="1" ht="45.75" customHeight="1" x14ac:dyDescent="0.2">
      <c r="A8" s="67"/>
      <c r="B8" s="68" t="str">
        <f>Portafolio_Cadena_Maíz!D70</f>
        <v>5.1. Mejora del desempeño ambiental de la cadena de maíz.</v>
      </c>
      <c r="C8" s="143" t="s">
        <v>215</v>
      </c>
      <c r="D8" s="70" t="s">
        <v>161</v>
      </c>
      <c r="E8" s="69">
        <f>+H47*3</f>
        <v>674788448.37700009</v>
      </c>
      <c r="F8" s="69">
        <f>+H46</f>
        <v>2699153793.5080004</v>
      </c>
      <c r="G8" s="69">
        <f>+H46</f>
        <v>2699153793.5080004</v>
      </c>
      <c r="H8" s="69">
        <f>+H47*9</f>
        <v>2024365345.1310003</v>
      </c>
      <c r="I8" s="69" t="str">
        <f>+H45</f>
        <v>Por definir</v>
      </c>
      <c r="J8" s="69" t="str">
        <f>+H45</f>
        <v>Por definir</v>
      </c>
      <c r="K8" s="69">
        <f>+H46</f>
        <v>2699153793.5080004</v>
      </c>
      <c r="L8" s="69" t="str">
        <f>+H45</f>
        <v>Por definir</v>
      </c>
      <c r="M8" s="69" t="str">
        <f>+H45</f>
        <v>Por definir</v>
      </c>
      <c r="N8" s="69">
        <f>+H46</f>
        <v>2699153793.5080004</v>
      </c>
      <c r="O8" s="69" t="str">
        <f>+H45</f>
        <v>Por definir</v>
      </c>
      <c r="P8" s="69" t="str">
        <f>+H45</f>
        <v>Por definir</v>
      </c>
      <c r="Q8" s="69">
        <f>+H46</f>
        <v>2699153793.5080004</v>
      </c>
      <c r="R8" s="69" t="str">
        <f>+H45</f>
        <v>Por definir</v>
      </c>
      <c r="S8" s="69" t="str">
        <f>+H45</f>
        <v>Por definir</v>
      </c>
      <c r="T8" s="69">
        <f>+H46</f>
        <v>2699153793.5080004</v>
      </c>
      <c r="U8" s="69" t="str">
        <f>+H45</f>
        <v>Por definir</v>
      </c>
      <c r="V8" s="69" t="str">
        <f>+H45</f>
        <v>Por definir</v>
      </c>
      <c r="W8" s="69">
        <f>+H46</f>
        <v>2699153793.5080004</v>
      </c>
      <c r="X8" s="69" t="str">
        <f>+H45</f>
        <v>Por definir</v>
      </c>
      <c r="Y8" s="69">
        <f>SUM(E8:X8)</f>
        <v>21593230348.063999</v>
      </c>
      <c r="Z8" s="66"/>
    </row>
    <row r="9" spans="1:26" s="166" customFormat="1" ht="24.6" customHeight="1" x14ac:dyDescent="0.25">
      <c r="A9" s="105"/>
      <c r="B9" s="163" t="s">
        <v>32</v>
      </c>
      <c r="C9" s="163"/>
      <c r="D9" s="163"/>
      <c r="E9" s="167"/>
      <c r="F9" s="167"/>
      <c r="G9" s="167"/>
      <c r="H9" s="167"/>
      <c r="I9" s="167"/>
      <c r="J9" s="167"/>
      <c r="K9" s="167"/>
      <c r="L9" s="167"/>
      <c r="M9" s="167"/>
      <c r="N9" s="167"/>
      <c r="O9" s="167"/>
      <c r="P9" s="167"/>
      <c r="Q9" s="167"/>
      <c r="R9" s="167"/>
      <c r="S9" s="167"/>
      <c r="T9" s="167"/>
      <c r="U9" s="167"/>
      <c r="V9" s="167"/>
      <c r="W9" s="167"/>
      <c r="X9" s="167"/>
      <c r="Y9" s="167"/>
      <c r="Z9" s="165"/>
    </row>
    <row r="10" spans="1:26" s="75" customFormat="1" ht="24.6" customHeight="1" x14ac:dyDescent="0.25">
      <c r="A10" s="102"/>
      <c r="B10" s="72"/>
      <c r="C10" s="72"/>
      <c r="D10" s="72"/>
      <c r="E10" s="72"/>
      <c r="F10" s="73"/>
      <c r="G10" s="74"/>
      <c r="H10" s="73"/>
      <c r="I10" s="73"/>
      <c r="J10" s="73"/>
      <c r="K10" s="73"/>
      <c r="L10" s="73"/>
      <c r="M10" s="73"/>
      <c r="N10" s="73"/>
      <c r="O10" s="73"/>
      <c r="P10" s="73"/>
      <c r="Q10" s="73"/>
      <c r="R10" s="73"/>
      <c r="S10" s="73"/>
      <c r="T10" s="73"/>
      <c r="U10" s="73"/>
      <c r="V10" s="73"/>
      <c r="W10" s="73"/>
      <c r="X10" s="73"/>
      <c r="Y10" s="73"/>
      <c r="Z10" s="73"/>
    </row>
    <row r="12" spans="1:26" s="102" customFormat="1" ht="14.45" customHeight="1" x14ac:dyDescent="0.25">
      <c r="B12" s="853" t="str">
        <f>B8</f>
        <v>5.1. Mejora del desempeño ambiental de la cadena de maíz.</v>
      </c>
      <c r="C12" s="852"/>
      <c r="D12" s="852"/>
      <c r="E12" s="852"/>
      <c r="F12" s="852"/>
      <c r="G12" s="852"/>
      <c r="H12" s="852"/>
      <c r="I12" s="326"/>
      <c r="X12" s="77"/>
    </row>
    <row r="13" spans="1:26" s="102" customFormat="1" ht="14.45" customHeight="1" x14ac:dyDescent="0.25">
      <c r="B13" s="852"/>
      <c r="C13" s="852"/>
      <c r="D13" s="852"/>
      <c r="E13" s="852"/>
      <c r="F13" s="852"/>
      <c r="G13" s="852"/>
      <c r="H13" s="852"/>
      <c r="I13" s="326"/>
      <c r="X13" s="77"/>
    </row>
    <row r="14" spans="1:26" s="102" customFormat="1" ht="15" x14ac:dyDescent="0.25">
      <c r="B14" s="854" t="str">
        <f>Portafolio_Cadena_Maíz!H70</f>
        <v>5.1.1. Promover la incorporación de los escenarios de variabilidad y cambio climático, en el desarrollo especializado de las regiones maiceras, a través de los instrumentos de política nacional y regional.</v>
      </c>
      <c r="C14" s="855"/>
      <c r="D14" s="855"/>
      <c r="E14" s="855"/>
      <c r="F14" s="855"/>
      <c r="G14" s="855"/>
      <c r="H14" s="855"/>
      <c r="I14" s="414"/>
      <c r="X14" s="77"/>
    </row>
    <row r="15" spans="1:26" s="102" customFormat="1" ht="28.5" customHeight="1" x14ac:dyDescent="0.25">
      <c r="B15" s="854" t="str">
        <f>Portafolio_Cadena_Maíz!H71</f>
        <v>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v>
      </c>
      <c r="C15" s="855"/>
      <c r="D15" s="855"/>
      <c r="E15" s="855"/>
      <c r="F15" s="855"/>
      <c r="G15" s="855"/>
      <c r="H15" s="855"/>
      <c r="I15" s="414"/>
      <c r="X15" s="77"/>
    </row>
    <row r="16" spans="1:26" s="102" customFormat="1" ht="15" x14ac:dyDescent="0.25">
      <c r="B16" s="854" t="str">
        <f>Portafolio_Cadena_Maíz!H72</f>
        <v xml:space="preserve">5.1.3. Promover el desarrollo y la adopción de semillas mejoradas en su tolerancia a las variaciones climáticas, de forma articulada con instrumentos financieros e incentivos. </v>
      </c>
      <c r="C16" s="855"/>
      <c r="D16" s="855"/>
      <c r="E16" s="855"/>
      <c r="F16" s="855"/>
      <c r="G16" s="855"/>
      <c r="H16" s="855"/>
      <c r="I16" s="414"/>
      <c r="X16" s="77"/>
    </row>
    <row r="17" spans="2:24" ht="30.6" customHeight="1" x14ac:dyDescent="0.25">
      <c r="B17" s="854" t="str">
        <f>Portafolio_Cadena_Maíz!H73</f>
        <v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v>
      </c>
      <c r="C17" s="855"/>
      <c r="D17" s="855"/>
      <c r="E17" s="855"/>
      <c r="F17" s="855"/>
      <c r="G17" s="855"/>
      <c r="H17" s="855"/>
    </row>
    <row r="18" spans="2:24" s="102" customFormat="1" ht="14.45" customHeight="1" x14ac:dyDescent="0.25">
      <c r="B18" s="854" t="str">
        <f>Portafolio_Cadena_Maíz!H74</f>
        <v>5.1.5. Identificar y divulgar los desarrollos en tecnologías de producción bajas en carbono, modelos de economía circular y energías alternativas, aplicables a la cadena de maíz.</v>
      </c>
      <c r="C18" s="855"/>
      <c r="D18" s="855"/>
      <c r="E18" s="855"/>
      <c r="F18" s="855"/>
      <c r="G18" s="855"/>
      <c r="H18" s="855"/>
      <c r="I18" s="414"/>
      <c r="X18" s="77"/>
    </row>
    <row r="19" spans="2:24" s="102" customFormat="1" ht="14.45" customHeight="1" x14ac:dyDescent="0.25">
      <c r="B19" s="854" t="str">
        <f>Portafolio_Cadena_Maíz!H75</f>
        <v>5.1.6. Realizar el acompañamiento técnico y financiero para mejorar la infraestructura y equipamiento requeridos en la incorporación de tecnologías de producción bajas en carbono, modelos de economía circular, y energías alternativas, a lo largo de la cadena de maíz.</v>
      </c>
      <c r="C19" s="855"/>
      <c r="D19" s="855"/>
      <c r="E19" s="855"/>
      <c r="F19" s="855"/>
      <c r="G19" s="855"/>
      <c r="H19" s="855"/>
      <c r="I19" s="414"/>
      <c r="X19" s="77"/>
    </row>
    <row r="20" spans="2:24" s="102" customFormat="1" ht="15" x14ac:dyDescent="0.25">
      <c r="B20" s="860" t="str">
        <f>Portafolio_Cadena_Maíz!H76</f>
        <v>5.1.7. Establecer la línea base y el sistema de monitoreo y medición del desempeño ambiental de la cadena de maíz.</v>
      </c>
      <c r="C20" s="861"/>
      <c r="D20" s="861"/>
      <c r="E20" s="861"/>
      <c r="F20" s="861"/>
      <c r="G20" s="861"/>
      <c r="H20" s="861"/>
      <c r="I20" s="414"/>
      <c r="X20" s="77"/>
    </row>
    <row r="21" spans="2:24" s="102" customFormat="1" ht="15" x14ac:dyDescent="0.25">
      <c r="B21" s="659"/>
      <c r="C21" s="660"/>
      <c r="D21" s="660"/>
      <c r="E21" s="660"/>
      <c r="F21" s="660"/>
      <c r="G21" s="660"/>
      <c r="H21" s="660"/>
      <c r="I21" s="658"/>
      <c r="X21" s="77"/>
    </row>
    <row r="22" spans="2:24" ht="15" x14ac:dyDescent="0.25">
      <c r="B22" s="858" t="s">
        <v>595</v>
      </c>
      <c r="C22" s="859"/>
      <c r="D22" s="859"/>
      <c r="E22" s="859"/>
      <c r="F22" s="859"/>
      <c r="G22" s="859"/>
      <c r="H22" s="859"/>
    </row>
    <row r="23" spans="2:24" ht="15" x14ac:dyDescent="0.25">
      <c r="B23" s="78" t="s">
        <v>68</v>
      </c>
      <c r="C23" s="78" t="s">
        <v>58</v>
      </c>
      <c r="D23" s="78" t="s">
        <v>55</v>
      </c>
      <c r="E23" s="78" t="s">
        <v>54</v>
      </c>
      <c r="F23" s="79" t="s">
        <v>96</v>
      </c>
      <c r="G23" s="78" t="s">
        <v>70</v>
      </c>
      <c r="H23" s="78" t="s">
        <v>71</v>
      </c>
      <c r="X23" s="80"/>
    </row>
    <row r="24" spans="2:24" x14ac:dyDescent="0.2">
      <c r="B24" s="171" t="s">
        <v>72</v>
      </c>
      <c r="C24" s="103">
        <v>4</v>
      </c>
      <c r="D24" s="103" t="s">
        <v>73</v>
      </c>
      <c r="E24" s="45">
        <v>500000</v>
      </c>
      <c r="F24" s="103"/>
      <c r="G24" s="103"/>
      <c r="H24" s="81">
        <f t="shared" ref="H24:H36" si="1">+C24*E24</f>
        <v>2000000</v>
      </c>
      <c r="J24" s="52"/>
    </row>
    <row r="25" spans="2:24" x14ac:dyDescent="0.2">
      <c r="B25" s="172" t="s">
        <v>74</v>
      </c>
      <c r="C25" s="48">
        <v>19</v>
      </c>
      <c r="D25" s="48" t="s">
        <v>73</v>
      </c>
      <c r="E25" s="187">
        <v>100000</v>
      </c>
      <c r="F25" s="48"/>
      <c r="G25" s="48"/>
      <c r="H25" s="149">
        <f t="shared" si="1"/>
        <v>1900000</v>
      </c>
      <c r="J25" s="52"/>
    </row>
    <row r="26" spans="2:24" x14ac:dyDescent="0.2">
      <c r="B26" s="172" t="s">
        <v>271</v>
      </c>
      <c r="C26" s="48">
        <v>4</v>
      </c>
      <c r="D26" s="48" t="s">
        <v>73</v>
      </c>
      <c r="E26" s="187">
        <v>2300000</v>
      </c>
      <c r="F26" s="48"/>
      <c r="G26" s="48"/>
      <c r="H26" s="149">
        <f t="shared" si="1"/>
        <v>9200000</v>
      </c>
      <c r="J26" s="52"/>
    </row>
    <row r="27" spans="2:24" x14ac:dyDescent="0.2">
      <c r="B27" s="172" t="s">
        <v>267</v>
      </c>
      <c r="C27" s="48">
        <v>7</v>
      </c>
      <c r="D27" s="48" t="s">
        <v>73</v>
      </c>
      <c r="E27" s="187">
        <v>2300000</v>
      </c>
      <c r="F27" s="48"/>
      <c r="G27" s="48"/>
      <c r="H27" s="149">
        <f t="shared" si="1"/>
        <v>16100000</v>
      </c>
      <c r="J27" s="52"/>
    </row>
    <row r="28" spans="2:24" x14ac:dyDescent="0.2">
      <c r="B28" s="172" t="s">
        <v>278</v>
      </c>
      <c r="C28" s="48">
        <v>19</v>
      </c>
      <c r="D28" s="48" t="s">
        <v>73</v>
      </c>
      <c r="E28" s="148">
        <v>460000</v>
      </c>
      <c r="F28" s="48"/>
      <c r="G28" s="48"/>
      <c r="H28" s="149">
        <f t="shared" si="1"/>
        <v>8740000</v>
      </c>
      <c r="J28" s="52"/>
    </row>
    <row r="29" spans="2:24" x14ac:dyDescent="0.2">
      <c r="B29" s="172" t="s">
        <v>76</v>
      </c>
      <c r="C29" s="48">
        <v>7</v>
      </c>
      <c r="D29" s="48" t="s">
        <v>274</v>
      </c>
      <c r="E29" s="148">
        <v>6000000</v>
      </c>
      <c r="F29" s="48"/>
      <c r="G29" s="48"/>
      <c r="H29" s="149">
        <f t="shared" si="1"/>
        <v>42000000</v>
      </c>
      <c r="J29" s="52"/>
    </row>
    <row r="30" spans="2:24" x14ac:dyDescent="0.2">
      <c r="B30" s="172" t="s">
        <v>77</v>
      </c>
      <c r="C30" s="48">
        <v>19</v>
      </c>
      <c r="D30" s="48" t="s">
        <v>73</v>
      </c>
      <c r="E30" s="148">
        <v>1800000</v>
      </c>
      <c r="F30" s="48"/>
      <c r="G30" s="48"/>
      <c r="H30" s="149">
        <f t="shared" si="1"/>
        <v>34200000</v>
      </c>
      <c r="J30" s="52"/>
    </row>
    <row r="31" spans="2:24" x14ac:dyDescent="0.2">
      <c r="B31" s="172" t="s">
        <v>162</v>
      </c>
      <c r="C31" s="48">
        <v>7</v>
      </c>
      <c r="D31" s="48" t="s">
        <v>275</v>
      </c>
      <c r="E31" s="148">
        <v>1500000</v>
      </c>
      <c r="F31" s="96"/>
      <c r="G31" s="48"/>
      <c r="H31" s="149">
        <f t="shared" si="1"/>
        <v>10500000</v>
      </c>
      <c r="J31" s="52"/>
    </row>
    <row r="32" spans="2:24" x14ac:dyDescent="0.2">
      <c r="B32" s="172" t="s">
        <v>174</v>
      </c>
      <c r="C32" s="48">
        <v>19</v>
      </c>
      <c r="D32" s="48" t="s">
        <v>73</v>
      </c>
      <c r="E32" s="148">
        <v>450000</v>
      </c>
      <c r="F32" s="48"/>
      <c r="G32" s="48"/>
      <c r="H32" s="149">
        <f t="shared" si="1"/>
        <v>8550000</v>
      </c>
      <c r="J32" s="52"/>
    </row>
    <row r="33" spans="2:10" x14ac:dyDescent="0.2">
      <c r="B33" s="172" t="s">
        <v>279</v>
      </c>
      <c r="C33" s="48">
        <v>19</v>
      </c>
      <c r="D33" s="48" t="s">
        <v>280</v>
      </c>
      <c r="E33" s="187">
        <v>3270000</v>
      </c>
      <c r="F33" s="48"/>
      <c r="G33" s="48"/>
      <c r="H33" s="149">
        <f t="shared" si="1"/>
        <v>62130000</v>
      </c>
      <c r="I33" s="83"/>
      <c r="J33" s="137"/>
    </row>
    <row r="34" spans="2:10" x14ac:dyDescent="0.2">
      <c r="B34" s="172" t="s">
        <v>281</v>
      </c>
      <c r="C34" s="48">
        <v>19</v>
      </c>
      <c r="D34" s="48" t="s">
        <v>73</v>
      </c>
      <c r="E34" s="187">
        <v>5170000</v>
      </c>
      <c r="F34" s="48"/>
      <c r="G34" s="48"/>
      <c r="H34" s="149">
        <f t="shared" si="1"/>
        <v>98230000</v>
      </c>
      <c r="I34" s="83"/>
      <c r="J34" s="137"/>
    </row>
    <row r="35" spans="2:10" x14ac:dyDescent="0.2">
      <c r="B35" s="172" t="s">
        <v>282</v>
      </c>
      <c r="C35" s="48">
        <v>7</v>
      </c>
      <c r="D35" s="48" t="s">
        <v>275</v>
      </c>
      <c r="E35" s="187">
        <v>3000000</v>
      </c>
      <c r="F35" s="48"/>
      <c r="G35" s="48"/>
      <c r="H35" s="149">
        <f t="shared" si="1"/>
        <v>21000000</v>
      </c>
      <c r="I35" s="83"/>
      <c r="J35" s="137"/>
    </row>
    <row r="36" spans="2:10" x14ac:dyDescent="0.2">
      <c r="B36" s="172" t="s">
        <v>283</v>
      </c>
      <c r="C36" s="48">
        <v>19</v>
      </c>
      <c r="D36" s="48" t="s">
        <v>73</v>
      </c>
      <c r="E36" s="187">
        <v>900000</v>
      </c>
      <c r="F36" s="48"/>
      <c r="G36" s="48"/>
      <c r="H36" s="149">
        <f t="shared" si="1"/>
        <v>17100000</v>
      </c>
      <c r="I36" s="83"/>
      <c r="J36" s="137"/>
    </row>
    <row r="37" spans="2:10" x14ac:dyDescent="0.2">
      <c r="B37" s="172" t="s">
        <v>210</v>
      </c>
      <c r="C37" s="48">
        <v>2</v>
      </c>
      <c r="D37" s="48" t="s">
        <v>284</v>
      </c>
      <c r="E37" s="187">
        <v>7233751</v>
      </c>
      <c r="F37" s="96">
        <v>1</v>
      </c>
      <c r="G37" s="48">
        <v>12</v>
      </c>
      <c r="H37" s="149">
        <f>+C37*E37*F37*G37</f>
        <v>173610024</v>
      </c>
      <c r="I37" s="100"/>
      <c r="J37" s="137"/>
    </row>
    <row r="38" spans="2:10" x14ac:dyDescent="0.2">
      <c r="B38" s="172" t="s">
        <v>80</v>
      </c>
      <c r="C38" s="48">
        <v>2</v>
      </c>
      <c r="D38" s="48" t="s">
        <v>73</v>
      </c>
      <c r="E38" s="187">
        <v>2682805</v>
      </c>
      <c r="F38" s="48"/>
      <c r="G38" s="48">
        <v>3</v>
      </c>
      <c r="H38" s="149">
        <f>+C38*E38*G38</f>
        <v>16096830</v>
      </c>
      <c r="I38" s="100"/>
      <c r="J38" s="137"/>
    </row>
    <row r="39" spans="2:10" x14ac:dyDescent="0.2">
      <c r="B39" s="172" t="s">
        <v>228</v>
      </c>
      <c r="C39" s="48">
        <v>19</v>
      </c>
      <c r="D39" s="48" t="s">
        <v>73</v>
      </c>
      <c r="E39" s="187">
        <v>6604729</v>
      </c>
      <c r="F39" s="96">
        <v>1</v>
      </c>
      <c r="G39" s="48">
        <v>12</v>
      </c>
      <c r="H39" s="149">
        <f>+C39*E39*F39*G39</f>
        <v>1505878212</v>
      </c>
      <c r="I39" s="100"/>
      <c r="J39" s="137"/>
    </row>
    <row r="40" spans="2:10" x14ac:dyDescent="0.2">
      <c r="B40" s="172" t="s">
        <v>56</v>
      </c>
      <c r="C40" s="48">
        <f>+C39</f>
        <v>19</v>
      </c>
      <c r="D40" s="48" t="s">
        <v>169</v>
      </c>
      <c r="E40" s="187">
        <v>1300000</v>
      </c>
      <c r="F40" s="48"/>
      <c r="G40" s="48"/>
      <c r="H40" s="149">
        <f>+C40*E40</f>
        <v>24700000</v>
      </c>
      <c r="I40" s="100"/>
      <c r="J40" s="137"/>
    </row>
    <row r="41" spans="2:10" x14ac:dyDescent="0.2">
      <c r="B41" s="172" t="s">
        <v>178</v>
      </c>
      <c r="C41" s="48">
        <f>+C39</f>
        <v>19</v>
      </c>
      <c r="D41" s="48" t="s">
        <v>169</v>
      </c>
      <c r="E41" s="148">
        <v>155000</v>
      </c>
      <c r="F41" s="97"/>
      <c r="G41" s="103">
        <v>12</v>
      </c>
      <c r="H41" s="81">
        <f>+C41*E41*G41</f>
        <v>35340000</v>
      </c>
      <c r="I41" s="100"/>
      <c r="J41" s="137"/>
    </row>
    <row r="42" spans="2:10" x14ac:dyDescent="0.2">
      <c r="B42" s="172" t="s">
        <v>285</v>
      </c>
      <c r="C42" s="48">
        <v>7</v>
      </c>
      <c r="D42" s="48" t="s">
        <v>73</v>
      </c>
      <c r="E42" s="187">
        <v>10745859.024</v>
      </c>
      <c r="F42" s="48"/>
      <c r="G42" s="48"/>
      <c r="H42" s="149">
        <f>+C42*E42</f>
        <v>75221013.167999998</v>
      </c>
      <c r="I42" s="44"/>
      <c r="J42" s="52"/>
    </row>
    <row r="43" spans="2:10" x14ac:dyDescent="0.2">
      <c r="B43" s="172" t="s">
        <v>286</v>
      </c>
      <c r="C43" s="48">
        <v>7</v>
      </c>
      <c r="D43" s="48" t="s">
        <v>73</v>
      </c>
      <c r="E43" s="187">
        <v>38953149.899999999</v>
      </c>
      <c r="F43" s="48"/>
      <c r="G43" s="48"/>
      <c r="H43" s="149">
        <f>+C43*E43</f>
        <v>272672049.30000001</v>
      </c>
      <c r="I43" s="44"/>
      <c r="J43" s="52"/>
    </row>
    <row r="44" spans="2:10" x14ac:dyDescent="0.2">
      <c r="B44" s="172" t="s">
        <v>287</v>
      </c>
      <c r="C44" s="48">
        <v>4</v>
      </c>
      <c r="D44" s="48" t="s">
        <v>73</v>
      </c>
      <c r="E44" s="187">
        <v>65996416.260000005</v>
      </c>
      <c r="F44" s="48"/>
      <c r="G44" s="48"/>
      <c r="H44" s="149">
        <f>+C44*E44</f>
        <v>263985665.04000002</v>
      </c>
      <c r="I44" s="44"/>
      <c r="J44" s="52"/>
    </row>
    <row r="45" spans="2:10" x14ac:dyDescent="0.2">
      <c r="B45" s="172" t="s">
        <v>187</v>
      </c>
      <c r="C45" s="48"/>
      <c r="D45" s="48"/>
      <c r="E45" s="187"/>
      <c r="F45" s="48"/>
      <c r="G45" s="48"/>
      <c r="H45" s="149" t="s">
        <v>67</v>
      </c>
      <c r="I45" s="44"/>
      <c r="J45" s="52"/>
    </row>
    <row r="46" spans="2:10" ht="15" x14ac:dyDescent="0.25">
      <c r="B46" s="85" t="s">
        <v>32</v>
      </c>
      <c r="C46" s="86"/>
      <c r="D46" s="86"/>
      <c r="E46" s="86"/>
      <c r="F46" s="87"/>
      <c r="G46" s="87"/>
      <c r="H46" s="114">
        <f>SUM(H24:H45)</f>
        <v>2699153793.5080004</v>
      </c>
      <c r="I46" s="83"/>
      <c r="J46" s="102"/>
    </row>
    <row r="47" spans="2:10" ht="15" x14ac:dyDescent="0.25">
      <c r="B47" s="85" t="s">
        <v>269</v>
      </c>
      <c r="C47" s="86"/>
      <c r="D47" s="86"/>
      <c r="E47" s="86"/>
      <c r="F47" s="87"/>
      <c r="G47" s="87"/>
      <c r="H47" s="114">
        <f>+H46/12</f>
        <v>224929482.79233336</v>
      </c>
      <c r="I47" s="83"/>
      <c r="J47" s="102"/>
    </row>
    <row r="48" spans="2:10" s="102" customFormat="1" ht="266.25" customHeight="1" x14ac:dyDescent="0.2">
      <c r="B48" s="188" t="s">
        <v>352</v>
      </c>
      <c r="C48" s="89"/>
      <c r="D48" s="89"/>
      <c r="E48" s="89"/>
      <c r="F48" s="89"/>
      <c r="G48" s="89"/>
      <c r="H48" s="89"/>
    </row>
    <row r="49" spans="2:9" ht="15" x14ac:dyDescent="0.25">
      <c r="B49" s="325"/>
      <c r="C49" s="325"/>
      <c r="D49" s="325"/>
      <c r="E49" s="325"/>
      <c r="F49" s="325"/>
      <c r="G49" s="325"/>
      <c r="H49" s="325"/>
      <c r="I49" s="90"/>
    </row>
    <row r="50" spans="2:9" ht="15" x14ac:dyDescent="0.25">
      <c r="B50" s="325"/>
      <c r="C50" s="325"/>
      <c r="D50" s="325"/>
      <c r="E50" s="325"/>
      <c r="F50" s="325"/>
      <c r="G50" s="325"/>
      <c r="H50" s="325"/>
      <c r="I50" s="90"/>
    </row>
    <row r="51" spans="2:9" x14ac:dyDescent="0.2">
      <c r="B51" s="102"/>
      <c r="C51" s="102"/>
      <c r="D51" s="102"/>
      <c r="E51" s="102"/>
      <c r="F51" s="102"/>
      <c r="G51" s="102"/>
    </row>
  </sheetData>
  <sheetProtection algorithmName="SHA-512" hashValue="3N7wFhNBVChewwvJfT3e2g/FTieaNz3vq3a7LN32DT25aycK+LUa9B/js1sldSlXQULaxnpdEqEOmWefQccDaA==" saltValue="WD99tjZZ2/09fhhNZQwd2w==" spinCount="100000" sheet="1" objects="1" scenarios="1"/>
  <mergeCells count="9">
    <mergeCell ref="B18:H18"/>
    <mergeCell ref="B19:H19"/>
    <mergeCell ref="B20:H20"/>
    <mergeCell ref="B22:H22"/>
    <mergeCell ref="B12:H13"/>
    <mergeCell ref="B14:H14"/>
    <mergeCell ref="B15:H15"/>
    <mergeCell ref="B16:H16"/>
    <mergeCell ref="B17:H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1"/>
  <sheetViews>
    <sheetView showGridLines="0" zoomScale="60" zoomScaleNormal="60" workbookViewId="0">
      <selection activeCell="B123" sqref="B123"/>
    </sheetView>
  </sheetViews>
  <sheetFormatPr baseColWidth="10" defaultColWidth="10.7109375" defaultRowHeight="14.25" x14ac:dyDescent="0.2"/>
  <cols>
    <col min="1" max="1" width="13.42578125" style="101" customWidth="1"/>
    <col min="2" max="2" width="71.42578125" style="101" customWidth="1"/>
    <col min="3" max="3" width="26.5703125" style="101" customWidth="1"/>
    <col min="4" max="4" width="28.140625" style="101" customWidth="1"/>
    <col min="5" max="5" width="22.42578125" style="101" customWidth="1"/>
    <col min="6" max="7" width="19.7109375" style="101" bestFit="1" customWidth="1"/>
    <col min="8" max="8" width="24.140625" style="101" bestFit="1" customWidth="1"/>
    <col min="9" max="9" width="22.85546875" style="101" customWidth="1"/>
    <col min="10" max="10" width="19.7109375" style="101" bestFit="1" customWidth="1"/>
    <col min="11" max="11" width="20.42578125" style="101" bestFit="1" customWidth="1"/>
    <col min="12" max="12" width="20.140625" style="101" bestFit="1" customWidth="1"/>
    <col min="13" max="22" width="19.7109375" style="101" bestFit="1" customWidth="1"/>
    <col min="23" max="24" width="20.42578125" style="101" bestFit="1" customWidth="1"/>
    <col min="25" max="25" width="21.42578125"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Portafolio_Cadena_Maíz!C77</f>
        <v xml:space="preserve">6. Contribución al mejoramiento en las condiciones de vida de la población vinculada a la cadena de maíz. </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Y7" si="0">SUM(E8:E11)</f>
        <v>1782446860.0999999</v>
      </c>
      <c r="F7" s="65">
        <f t="shared" si="0"/>
        <v>7129787440.3999996</v>
      </c>
      <c r="G7" s="65">
        <f t="shared" si="0"/>
        <v>7129787440.3999996</v>
      </c>
      <c r="H7" s="65">
        <f t="shared" si="0"/>
        <v>6531012754.3999996</v>
      </c>
      <c r="I7" s="65">
        <f t="shared" si="0"/>
        <v>6531012754.3999996</v>
      </c>
      <c r="J7" s="65">
        <f t="shared" si="0"/>
        <v>6531012754.3999996</v>
      </c>
      <c r="K7" s="65">
        <f t="shared" si="0"/>
        <v>7129787440.3999996</v>
      </c>
      <c r="L7" s="65">
        <f t="shared" si="0"/>
        <v>6531012754.3999996</v>
      </c>
      <c r="M7" s="65">
        <f t="shared" si="0"/>
        <v>6531012754.3999996</v>
      </c>
      <c r="N7" s="65">
        <f t="shared" si="0"/>
        <v>6531012754.3999996</v>
      </c>
      <c r="O7" s="65">
        <f t="shared" si="0"/>
        <v>7129787440.3999996</v>
      </c>
      <c r="P7" s="65">
        <f t="shared" si="0"/>
        <v>6531012754.3999996</v>
      </c>
      <c r="Q7" s="65">
        <f t="shared" si="0"/>
        <v>6531012754.3999996</v>
      </c>
      <c r="R7" s="65">
        <f t="shared" si="0"/>
        <v>6531012754.3999996</v>
      </c>
      <c r="S7" s="65">
        <f t="shared" si="0"/>
        <v>7129787440.3999996</v>
      </c>
      <c r="T7" s="65">
        <f t="shared" si="0"/>
        <v>6531012754.3999996</v>
      </c>
      <c r="U7" s="65">
        <f t="shared" si="0"/>
        <v>6531012754.3999996</v>
      </c>
      <c r="V7" s="65">
        <f t="shared" si="0"/>
        <v>6531012754.3999996</v>
      </c>
      <c r="W7" s="65">
        <f t="shared" si="0"/>
        <v>7129787440.3999996</v>
      </c>
      <c r="X7" s="65">
        <f t="shared" si="0"/>
        <v>4064258048</v>
      </c>
      <c r="Y7" s="65">
        <f t="shared" si="0"/>
        <v>126997582603.30002</v>
      </c>
      <c r="Z7" s="66"/>
    </row>
    <row r="8" spans="1:26" s="70" customFormat="1" ht="60" customHeight="1" x14ac:dyDescent="0.2">
      <c r="A8" s="67"/>
      <c r="B8" s="68" t="str">
        <f>Portafolio_Cadena_Maíz!D77</f>
        <v>6.1  Promoción de la atención de las necesidades básicas de los actores vinculados a la cadena.</v>
      </c>
      <c r="C8" s="113" t="s">
        <v>358</v>
      </c>
      <c r="D8" s="113" t="s">
        <v>185</v>
      </c>
      <c r="E8" s="69">
        <f>I46*3</f>
        <v>839055476</v>
      </c>
      <c r="F8" s="69">
        <f>H46</f>
        <v>3356221904</v>
      </c>
      <c r="G8" s="69">
        <f t="shared" ref="G8:X8" si="1">F8</f>
        <v>3356221904</v>
      </c>
      <c r="H8" s="69">
        <f t="shared" si="1"/>
        <v>3356221904</v>
      </c>
      <c r="I8" s="69">
        <f t="shared" si="1"/>
        <v>3356221904</v>
      </c>
      <c r="J8" s="69">
        <f t="shared" si="1"/>
        <v>3356221904</v>
      </c>
      <c r="K8" s="69">
        <f t="shared" si="1"/>
        <v>3356221904</v>
      </c>
      <c r="L8" s="69">
        <f t="shared" si="1"/>
        <v>3356221904</v>
      </c>
      <c r="M8" s="69">
        <f t="shared" si="1"/>
        <v>3356221904</v>
      </c>
      <c r="N8" s="69">
        <f t="shared" si="1"/>
        <v>3356221904</v>
      </c>
      <c r="O8" s="69">
        <f t="shared" si="1"/>
        <v>3356221904</v>
      </c>
      <c r="P8" s="69">
        <f t="shared" si="1"/>
        <v>3356221904</v>
      </c>
      <c r="Q8" s="69">
        <f t="shared" si="1"/>
        <v>3356221904</v>
      </c>
      <c r="R8" s="69">
        <f t="shared" si="1"/>
        <v>3356221904</v>
      </c>
      <c r="S8" s="69">
        <f t="shared" si="1"/>
        <v>3356221904</v>
      </c>
      <c r="T8" s="69">
        <f t="shared" si="1"/>
        <v>3356221904</v>
      </c>
      <c r="U8" s="69">
        <f t="shared" si="1"/>
        <v>3356221904</v>
      </c>
      <c r="V8" s="69">
        <f t="shared" si="1"/>
        <v>3356221904</v>
      </c>
      <c r="W8" s="69">
        <f t="shared" si="1"/>
        <v>3356221904</v>
      </c>
      <c r="X8" s="69">
        <f t="shared" si="1"/>
        <v>3356221904</v>
      </c>
      <c r="Y8" s="69">
        <f>SUM(E8:X8)</f>
        <v>64607271652</v>
      </c>
      <c r="Z8" s="66"/>
    </row>
    <row r="9" spans="1:26" s="70" customFormat="1" ht="42.95" customHeight="1" x14ac:dyDescent="0.2">
      <c r="A9" s="67"/>
      <c r="B9" s="68" t="str">
        <f>Portafolio_Cadena_Maíz!D82</f>
        <v>6.2. Contribución al incremento del nivel educativo de los actores vinculados a la cadena.</v>
      </c>
      <c r="C9" s="113" t="s">
        <v>358</v>
      </c>
      <c r="D9" s="113" t="s">
        <v>185</v>
      </c>
      <c r="E9" s="69">
        <f>I73*3</f>
        <v>177009036</v>
      </c>
      <c r="F9" s="69">
        <f>H73</f>
        <v>708036144</v>
      </c>
      <c r="G9" s="69">
        <f t="shared" ref="G9:X9" si="2">F9</f>
        <v>708036144</v>
      </c>
      <c r="H9" s="69">
        <f t="shared" si="2"/>
        <v>708036144</v>
      </c>
      <c r="I9" s="69">
        <f t="shared" si="2"/>
        <v>708036144</v>
      </c>
      <c r="J9" s="69">
        <f t="shared" si="2"/>
        <v>708036144</v>
      </c>
      <c r="K9" s="69">
        <f t="shared" si="2"/>
        <v>708036144</v>
      </c>
      <c r="L9" s="69">
        <f t="shared" si="2"/>
        <v>708036144</v>
      </c>
      <c r="M9" s="69">
        <f t="shared" si="2"/>
        <v>708036144</v>
      </c>
      <c r="N9" s="69">
        <f t="shared" si="2"/>
        <v>708036144</v>
      </c>
      <c r="O9" s="69">
        <f t="shared" si="2"/>
        <v>708036144</v>
      </c>
      <c r="P9" s="69">
        <f t="shared" si="2"/>
        <v>708036144</v>
      </c>
      <c r="Q9" s="69">
        <f t="shared" si="2"/>
        <v>708036144</v>
      </c>
      <c r="R9" s="69">
        <f t="shared" si="2"/>
        <v>708036144</v>
      </c>
      <c r="S9" s="69">
        <f t="shared" si="2"/>
        <v>708036144</v>
      </c>
      <c r="T9" s="69">
        <f t="shared" si="2"/>
        <v>708036144</v>
      </c>
      <c r="U9" s="69">
        <f t="shared" si="2"/>
        <v>708036144</v>
      </c>
      <c r="V9" s="69">
        <f t="shared" si="2"/>
        <v>708036144</v>
      </c>
      <c r="W9" s="69">
        <f t="shared" si="2"/>
        <v>708036144</v>
      </c>
      <c r="X9" s="69">
        <f t="shared" si="2"/>
        <v>708036144</v>
      </c>
      <c r="Y9" s="69">
        <f t="shared" ref="Y9:Y11" si="3">SUM(E9:X9)</f>
        <v>13629695772</v>
      </c>
      <c r="Z9" s="66"/>
    </row>
    <row r="10" spans="1:26" s="70" customFormat="1" ht="42.95" customHeight="1" x14ac:dyDescent="0.2">
      <c r="A10" s="67"/>
      <c r="B10" s="68" t="str">
        <f>Portafolio_Cadena_Maíz!D86</f>
        <v>6.3. Promoción al  acceso en la seguridad social y mejora en las condiciones laborales a lo largo de la cadena</v>
      </c>
      <c r="C10" s="113" t="s">
        <v>358</v>
      </c>
      <c r="D10" s="113" t="s">
        <v>191</v>
      </c>
      <c r="E10" s="69">
        <f>I105*3</f>
        <v>616688676.60000002</v>
      </c>
      <c r="F10" s="69">
        <f>H105</f>
        <v>2466754706.4000001</v>
      </c>
      <c r="G10" s="69">
        <f>H105</f>
        <v>2466754706.4000001</v>
      </c>
      <c r="H10" s="69">
        <f t="shared" ref="H10:W10" si="4">G10</f>
        <v>2466754706.4000001</v>
      </c>
      <c r="I10" s="69">
        <f t="shared" si="4"/>
        <v>2466754706.4000001</v>
      </c>
      <c r="J10" s="69">
        <f t="shared" si="4"/>
        <v>2466754706.4000001</v>
      </c>
      <c r="K10" s="69">
        <f t="shared" si="4"/>
        <v>2466754706.4000001</v>
      </c>
      <c r="L10" s="69">
        <f t="shared" si="4"/>
        <v>2466754706.4000001</v>
      </c>
      <c r="M10" s="69">
        <f t="shared" si="4"/>
        <v>2466754706.4000001</v>
      </c>
      <c r="N10" s="69">
        <f t="shared" si="4"/>
        <v>2466754706.4000001</v>
      </c>
      <c r="O10" s="69">
        <f t="shared" si="4"/>
        <v>2466754706.4000001</v>
      </c>
      <c r="P10" s="69">
        <f t="shared" si="4"/>
        <v>2466754706.4000001</v>
      </c>
      <c r="Q10" s="69">
        <f t="shared" si="4"/>
        <v>2466754706.4000001</v>
      </c>
      <c r="R10" s="69">
        <f t="shared" si="4"/>
        <v>2466754706.4000001</v>
      </c>
      <c r="S10" s="69">
        <f t="shared" si="4"/>
        <v>2466754706.4000001</v>
      </c>
      <c r="T10" s="69">
        <f t="shared" si="4"/>
        <v>2466754706.4000001</v>
      </c>
      <c r="U10" s="69">
        <f t="shared" si="4"/>
        <v>2466754706.4000001</v>
      </c>
      <c r="V10" s="69">
        <f t="shared" si="4"/>
        <v>2466754706.4000001</v>
      </c>
      <c r="W10" s="69">
        <f t="shared" si="4"/>
        <v>2466754706.4000001</v>
      </c>
      <c r="X10" s="69"/>
      <c r="Y10" s="69">
        <f t="shared" si="3"/>
        <v>45018273391.800011</v>
      </c>
      <c r="Z10" s="66"/>
    </row>
    <row r="11" spans="1:26" s="70" customFormat="1" ht="42.95" customHeight="1" x14ac:dyDescent="0.2">
      <c r="A11" s="67"/>
      <c r="B11" s="68" t="str">
        <f>Portafolio_Cadena_Maíz!D90</f>
        <v>6.4. Contribución a la mejora de condiciones de conectividad vial y de servicios públicos, en las regiones maiceras.</v>
      </c>
      <c r="C11" s="113" t="s">
        <v>358</v>
      </c>
      <c r="D11" s="113" t="s">
        <v>191</v>
      </c>
      <c r="E11" s="69">
        <f>I129*3</f>
        <v>149693671.5</v>
      </c>
      <c r="F11" s="69">
        <f>H129</f>
        <v>598774686</v>
      </c>
      <c r="G11" s="69">
        <f>F11</f>
        <v>598774686</v>
      </c>
      <c r="H11" s="69"/>
      <c r="I11" s="69"/>
      <c r="J11" s="69"/>
      <c r="K11" s="69">
        <f>G11</f>
        <v>598774686</v>
      </c>
      <c r="L11" s="69"/>
      <c r="M11" s="69"/>
      <c r="N11" s="69"/>
      <c r="O11" s="69">
        <f>K11</f>
        <v>598774686</v>
      </c>
      <c r="P11" s="69"/>
      <c r="Q11" s="69"/>
      <c r="R11" s="69"/>
      <c r="S11" s="69">
        <f>O11</f>
        <v>598774686</v>
      </c>
      <c r="T11" s="69"/>
      <c r="U11" s="69"/>
      <c r="V11" s="69"/>
      <c r="W11" s="69">
        <f>S11</f>
        <v>598774686</v>
      </c>
      <c r="X11" s="69"/>
      <c r="Y11" s="69">
        <f t="shared" si="3"/>
        <v>3742341787.5</v>
      </c>
      <c r="Z11" s="66"/>
    </row>
    <row r="12" spans="1:26" s="40" customFormat="1" ht="24.6" customHeight="1" x14ac:dyDescent="0.25">
      <c r="A12" s="101"/>
      <c r="B12" s="63" t="s">
        <v>32</v>
      </c>
      <c r="C12" s="63"/>
      <c r="D12" s="63"/>
      <c r="E12" s="71">
        <f t="shared" ref="E12:Y12" si="5">SUM(E8:E11)</f>
        <v>1782446860.0999999</v>
      </c>
      <c r="F12" s="71">
        <f t="shared" si="5"/>
        <v>7129787440.3999996</v>
      </c>
      <c r="G12" s="71">
        <f t="shared" si="5"/>
        <v>7129787440.3999996</v>
      </c>
      <c r="H12" s="71">
        <f t="shared" si="5"/>
        <v>6531012754.3999996</v>
      </c>
      <c r="I12" s="71">
        <f t="shared" si="5"/>
        <v>6531012754.3999996</v>
      </c>
      <c r="J12" s="71">
        <f t="shared" si="5"/>
        <v>6531012754.3999996</v>
      </c>
      <c r="K12" s="71">
        <f t="shared" si="5"/>
        <v>7129787440.3999996</v>
      </c>
      <c r="L12" s="71">
        <f t="shared" si="5"/>
        <v>6531012754.3999996</v>
      </c>
      <c r="M12" s="71">
        <f t="shared" si="5"/>
        <v>6531012754.3999996</v>
      </c>
      <c r="N12" s="71">
        <f t="shared" si="5"/>
        <v>6531012754.3999996</v>
      </c>
      <c r="O12" s="71">
        <f t="shared" si="5"/>
        <v>7129787440.3999996</v>
      </c>
      <c r="P12" s="71">
        <f t="shared" si="5"/>
        <v>6531012754.3999996</v>
      </c>
      <c r="Q12" s="71">
        <f t="shared" si="5"/>
        <v>6531012754.3999996</v>
      </c>
      <c r="R12" s="71">
        <f t="shared" si="5"/>
        <v>6531012754.3999996</v>
      </c>
      <c r="S12" s="71">
        <f t="shared" si="5"/>
        <v>7129787440.3999996</v>
      </c>
      <c r="T12" s="71">
        <f t="shared" si="5"/>
        <v>6531012754.3999996</v>
      </c>
      <c r="U12" s="71">
        <f t="shared" si="5"/>
        <v>6531012754.3999996</v>
      </c>
      <c r="V12" s="71">
        <f t="shared" si="5"/>
        <v>6531012754.3999996</v>
      </c>
      <c r="W12" s="71">
        <f t="shared" si="5"/>
        <v>7129787440.3999996</v>
      </c>
      <c r="X12" s="71">
        <f t="shared" si="5"/>
        <v>4064258048</v>
      </c>
      <c r="Y12" s="71">
        <f t="shared" si="5"/>
        <v>126997582603.30002</v>
      </c>
      <c r="Z12" s="66"/>
    </row>
    <row r="13" spans="1:26" s="75" customFormat="1" ht="24.6" customHeight="1" x14ac:dyDescent="0.25">
      <c r="A13" s="102"/>
      <c r="B13" s="72"/>
      <c r="C13" s="72"/>
      <c r="D13" s="72"/>
      <c r="E13" s="72"/>
      <c r="F13" s="73"/>
      <c r="G13" s="74"/>
      <c r="H13" s="73"/>
      <c r="I13" s="73"/>
      <c r="J13" s="73"/>
      <c r="K13" s="73"/>
      <c r="L13" s="73"/>
      <c r="M13" s="73"/>
      <c r="N13" s="73"/>
      <c r="O13" s="73"/>
      <c r="P13" s="73"/>
      <c r="Q13" s="73"/>
      <c r="R13" s="73"/>
      <c r="S13" s="73"/>
      <c r="T13" s="73"/>
      <c r="U13" s="73"/>
      <c r="V13" s="73"/>
      <c r="W13" s="73"/>
      <c r="X13" s="73"/>
      <c r="Y13" s="73"/>
      <c r="Z13" s="73"/>
    </row>
    <row r="15" spans="1:26" s="102" customFormat="1" ht="14.45" customHeight="1" x14ac:dyDescent="0.25">
      <c r="B15" s="853" t="str">
        <f>B8</f>
        <v>6.1  Promoción de la atención de las necesidades básicas de los actores vinculados a la cadena.</v>
      </c>
      <c r="C15" s="852"/>
      <c r="D15" s="852"/>
      <c r="E15" s="852"/>
      <c r="F15" s="852"/>
      <c r="G15" s="852"/>
      <c r="H15" s="852"/>
      <c r="I15" s="110"/>
      <c r="X15" s="77"/>
    </row>
    <row r="16" spans="1:26" s="102" customFormat="1" ht="14.45" customHeight="1" x14ac:dyDescent="0.25">
      <c r="B16" s="852"/>
      <c r="C16" s="852"/>
      <c r="D16" s="852"/>
      <c r="E16" s="852"/>
      <c r="F16" s="852"/>
      <c r="G16" s="852"/>
      <c r="H16" s="852"/>
      <c r="I16" s="110"/>
      <c r="X16" s="77"/>
    </row>
    <row r="17" spans="2:24" s="102" customFormat="1" ht="15" x14ac:dyDescent="0.25">
      <c r="B17" s="854" t="str">
        <f>Portafolio_Cadena_Maíz!H77</f>
        <v>6.1.1. Priorizar y seleccionar productores de maíz y otros actores vinculados a la cadena, según su condición de vulnerabilidad, a partir de la caracterización subregional de la actividad 9.4.3.</v>
      </c>
      <c r="C17" s="855"/>
      <c r="D17" s="855"/>
      <c r="E17" s="855"/>
      <c r="F17" s="855"/>
      <c r="G17" s="855"/>
      <c r="H17" s="855"/>
      <c r="I17" s="414"/>
      <c r="X17" s="77"/>
    </row>
    <row r="18" spans="2:24" s="102" customFormat="1" ht="15" x14ac:dyDescent="0.25">
      <c r="B18" s="854" t="str">
        <f>Portafolio_Cadena_Maíz!H78</f>
        <v xml:space="preserve">6.1.2. Realizar acompañamiento a los pequeños productores de maíz tradicional y sus familias, con el fin de mejorar la seguridad alimentaria, enfatizando en el uso y aprovechamiento de los recursos de su unidad productiva.   </v>
      </c>
      <c r="C18" s="855"/>
      <c r="D18" s="855"/>
      <c r="E18" s="855"/>
      <c r="F18" s="855"/>
      <c r="G18" s="855"/>
      <c r="H18" s="855"/>
      <c r="I18" s="414"/>
      <c r="X18" s="77"/>
    </row>
    <row r="19" spans="2:24" s="102" customFormat="1" ht="35.450000000000003" customHeight="1" x14ac:dyDescent="0.25">
      <c r="B19" s="854" t="str">
        <f>Portafolio_Cadena_Maíz!H79</f>
        <v>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v>
      </c>
      <c r="C19" s="855"/>
      <c r="D19" s="855"/>
      <c r="E19" s="855"/>
      <c r="F19" s="855"/>
      <c r="G19" s="855"/>
      <c r="H19" s="855"/>
      <c r="I19" s="414"/>
      <c r="X19" s="77"/>
    </row>
    <row r="20" spans="2:24" ht="30.6" customHeight="1" x14ac:dyDescent="0.25">
      <c r="B20" s="854" t="str">
        <f>Portafolio_Cadena_Maíz!H80</f>
        <v>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v>
      </c>
      <c r="C20" s="855"/>
      <c r="D20" s="855"/>
      <c r="E20" s="855"/>
      <c r="F20" s="855"/>
      <c r="G20" s="855"/>
      <c r="H20" s="855"/>
    </row>
    <row r="21" spans="2:24" s="102" customFormat="1" ht="29.45" customHeight="1" x14ac:dyDescent="0.25">
      <c r="B21" s="854" t="str">
        <f>Portafolio_Cadena_Maíz!H81</f>
        <v>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v>
      </c>
      <c r="C21" s="855"/>
      <c r="D21" s="855"/>
      <c r="E21" s="855"/>
      <c r="F21" s="855"/>
      <c r="G21" s="855"/>
      <c r="H21" s="855"/>
      <c r="I21" s="414"/>
      <c r="X21" s="77"/>
    </row>
    <row r="22" spans="2:24" s="102" customFormat="1" ht="14.45" customHeight="1" x14ac:dyDescent="0.25">
      <c r="B22" s="854"/>
      <c r="C22" s="855"/>
      <c r="D22" s="855"/>
      <c r="E22" s="855"/>
      <c r="F22" s="855"/>
      <c r="G22" s="855"/>
      <c r="H22" s="855"/>
      <c r="I22" s="414"/>
      <c r="X22" s="77"/>
    </row>
    <row r="23" spans="2:24" s="102" customFormat="1" ht="14.45" customHeight="1" x14ac:dyDescent="0.25">
      <c r="B23" s="858" t="s">
        <v>595</v>
      </c>
      <c r="C23" s="859"/>
      <c r="D23" s="859"/>
      <c r="E23" s="859"/>
      <c r="F23" s="859"/>
      <c r="G23" s="859"/>
      <c r="H23" s="859"/>
      <c r="I23" s="414"/>
      <c r="X23" s="77"/>
    </row>
    <row r="24" spans="2:24" ht="15" x14ac:dyDescent="0.25">
      <c r="B24" s="400" t="s">
        <v>68</v>
      </c>
      <c r="C24" s="400" t="s">
        <v>58</v>
      </c>
      <c r="D24" s="400" t="s">
        <v>55</v>
      </c>
      <c r="E24" s="400" t="s">
        <v>54</v>
      </c>
      <c r="F24" s="401" t="s">
        <v>96</v>
      </c>
      <c r="G24" s="400" t="s">
        <v>70</v>
      </c>
      <c r="H24" s="400" t="s">
        <v>71</v>
      </c>
      <c r="X24" s="80"/>
    </row>
    <row r="25" spans="2:24" x14ac:dyDescent="0.2">
      <c r="B25" s="104" t="s">
        <v>72</v>
      </c>
      <c r="C25" s="104">
        <v>15</v>
      </c>
      <c r="D25" s="104" t="s">
        <v>163</v>
      </c>
      <c r="E25" s="81">
        <v>500000</v>
      </c>
      <c r="F25" s="104"/>
      <c r="G25" s="104"/>
      <c r="H25" s="81">
        <f t="shared" ref="H25:H32" si="6">C25*E25</f>
        <v>7500000</v>
      </c>
      <c r="J25" s="357"/>
    </row>
    <row r="26" spans="2:24" x14ac:dyDescent="0.2">
      <c r="B26" s="104" t="s">
        <v>74</v>
      </c>
      <c r="C26" s="104">
        <v>15</v>
      </c>
      <c r="D26" s="104" t="s">
        <v>163</v>
      </c>
      <c r="E26" s="81">
        <v>100000</v>
      </c>
      <c r="F26" s="104"/>
      <c r="G26" s="104"/>
      <c r="H26" s="81">
        <f t="shared" si="6"/>
        <v>1500000</v>
      </c>
      <c r="J26" s="357"/>
    </row>
    <row r="27" spans="2:24" x14ac:dyDescent="0.2">
      <c r="B27" s="104" t="s">
        <v>266</v>
      </c>
      <c r="C27" s="104">
        <f>(39360*50%)/20</f>
        <v>984</v>
      </c>
      <c r="D27" s="104" t="s">
        <v>265</v>
      </c>
      <c r="E27" s="81">
        <v>483000</v>
      </c>
      <c r="F27" s="104"/>
      <c r="G27" s="104"/>
      <c r="H27" s="81">
        <f>C27*E27</f>
        <v>475272000</v>
      </c>
      <c r="J27" s="357"/>
    </row>
    <row r="28" spans="2:24" x14ac:dyDescent="0.2">
      <c r="B28" s="104" t="s">
        <v>156</v>
      </c>
      <c r="C28" s="104">
        <f>10*15</f>
        <v>150</v>
      </c>
      <c r="D28" s="104" t="s">
        <v>65</v>
      </c>
      <c r="E28" s="81">
        <v>6000000</v>
      </c>
      <c r="F28" s="104"/>
      <c r="G28" s="104"/>
      <c r="H28" s="81">
        <f t="shared" si="6"/>
        <v>900000000</v>
      </c>
      <c r="I28" s="100"/>
      <c r="J28" s="357"/>
    </row>
    <row r="29" spans="2:24" x14ac:dyDescent="0.2">
      <c r="B29" s="104" t="s">
        <v>77</v>
      </c>
      <c r="C29" s="104">
        <f>10*15</f>
        <v>150</v>
      </c>
      <c r="D29" s="104" t="s">
        <v>65</v>
      </c>
      <c r="E29" s="81">
        <v>1800000</v>
      </c>
      <c r="F29" s="104"/>
      <c r="G29" s="104"/>
      <c r="H29" s="81">
        <f t="shared" si="6"/>
        <v>270000000</v>
      </c>
      <c r="I29" s="100"/>
      <c r="J29" s="357"/>
    </row>
    <row r="30" spans="2:24" x14ac:dyDescent="0.2">
      <c r="B30" s="104" t="s">
        <v>90</v>
      </c>
      <c r="C30" s="104">
        <f>15*2</f>
        <v>30</v>
      </c>
      <c r="D30" s="104" t="s">
        <v>165</v>
      </c>
      <c r="E30" s="81">
        <v>2300000</v>
      </c>
      <c r="F30" s="104"/>
      <c r="G30" s="104"/>
      <c r="H30" s="81">
        <f t="shared" si="6"/>
        <v>69000000</v>
      </c>
      <c r="J30" s="357"/>
    </row>
    <row r="31" spans="2:24" x14ac:dyDescent="0.2">
      <c r="B31" s="104" t="s">
        <v>91</v>
      </c>
      <c r="C31" s="104">
        <f>15*2</f>
        <v>30</v>
      </c>
      <c r="D31" s="104" t="s">
        <v>165</v>
      </c>
      <c r="E31" s="81">
        <v>460000</v>
      </c>
      <c r="F31" s="104"/>
      <c r="G31" s="104"/>
      <c r="H31" s="81">
        <f t="shared" si="6"/>
        <v>13800000</v>
      </c>
      <c r="J31" s="357"/>
    </row>
    <row r="32" spans="2:24" ht="17.45" customHeight="1" x14ac:dyDescent="0.2">
      <c r="B32" s="104" t="s">
        <v>200</v>
      </c>
      <c r="C32" s="104">
        <f>15*2</f>
        <v>30</v>
      </c>
      <c r="D32" s="104" t="s">
        <v>170</v>
      </c>
      <c r="E32" s="94">
        <v>5000000</v>
      </c>
      <c r="F32" s="104"/>
      <c r="G32" s="104"/>
      <c r="H32" s="81">
        <f t="shared" si="6"/>
        <v>150000000</v>
      </c>
      <c r="J32" s="357"/>
    </row>
    <row r="33" spans="2:10" x14ac:dyDescent="0.2">
      <c r="B33" s="104" t="s">
        <v>166</v>
      </c>
      <c r="C33" s="104">
        <v>2</v>
      </c>
      <c r="D33" s="104" t="s">
        <v>102</v>
      </c>
      <c r="E33" s="81">
        <v>5032173</v>
      </c>
      <c r="F33" s="104"/>
      <c r="G33" s="104">
        <v>4</v>
      </c>
      <c r="H33" s="81">
        <f>C33*E33*G33</f>
        <v>40257384</v>
      </c>
      <c r="I33" s="83"/>
      <c r="J33" s="357"/>
    </row>
    <row r="34" spans="2:10" x14ac:dyDescent="0.2">
      <c r="B34" s="104" t="s">
        <v>172</v>
      </c>
      <c r="C34" s="104">
        <v>7</v>
      </c>
      <c r="D34" s="104" t="s">
        <v>57</v>
      </c>
      <c r="E34" s="81">
        <v>14500000</v>
      </c>
      <c r="F34" s="104"/>
      <c r="G34" s="104"/>
      <c r="H34" s="81">
        <f>C34*E34</f>
        <v>101500000</v>
      </c>
      <c r="I34" s="83"/>
      <c r="J34" s="357"/>
    </row>
    <row r="35" spans="2:10" x14ac:dyDescent="0.2">
      <c r="B35" s="104" t="s">
        <v>167</v>
      </c>
      <c r="C35" s="104">
        <v>7</v>
      </c>
      <c r="D35" s="104" t="s">
        <v>169</v>
      </c>
      <c r="E35" s="94">
        <v>21000000</v>
      </c>
      <c r="F35" s="104"/>
      <c r="G35" s="104"/>
      <c r="H35" s="81">
        <f>C35*E35</f>
        <v>147000000</v>
      </c>
      <c r="J35" s="357"/>
    </row>
    <row r="36" spans="2:10" x14ac:dyDescent="0.2">
      <c r="B36" s="104" t="s">
        <v>168</v>
      </c>
      <c r="C36" s="117">
        <f>(39360*30%)/20</f>
        <v>590.4</v>
      </c>
      <c r="D36" s="104" t="s">
        <v>169</v>
      </c>
      <c r="E36" s="118">
        <v>25000</v>
      </c>
      <c r="F36" s="104"/>
      <c r="G36" s="104">
        <v>6</v>
      </c>
      <c r="H36" s="118">
        <f>C36*E36*G36</f>
        <v>88560000</v>
      </c>
      <c r="J36" s="357"/>
    </row>
    <row r="37" spans="2:10" x14ac:dyDescent="0.2">
      <c r="B37" s="104" t="s">
        <v>182</v>
      </c>
      <c r="C37" s="117">
        <f>(39360*30%)/20</f>
        <v>590.4</v>
      </c>
      <c r="D37" s="104" t="s">
        <v>169</v>
      </c>
      <c r="E37" s="118">
        <v>300000</v>
      </c>
      <c r="F37" s="104"/>
      <c r="G37" s="104"/>
      <c r="H37" s="118">
        <f>C37*E37</f>
        <v>177120000</v>
      </c>
      <c r="J37" s="357"/>
    </row>
    <row r="38" spans="2:10" x14ac:dyDescent="0.2">
      <c r="B38" s="104" t="s">
        <v>183</v>
      </c>
      <c r="C38" s="117">
        <f>(39360*30%)/20</f>
        <v>590.4</v>
      </c>
      <c r="D38" s="104" t="s">
        <v>169</v>
      </c>
      <c r="E38" s="94">
        <v>600000</v>
      </c>
      <c r="F38" s="104"/>
      <c r="G38" s="104"/>
      <c r="H38" s="118">
        <f>C38*E38</f>
        <v>354240000</v>
      </c>
      <c r="J38" s="357"/>
    </row>
    <row r="39" spans="2:10" x14ac:dyDescent="0.2">
      <c r="B39" s="104" t="s">
        <v>173</v>
      </c>
      <c r="C39" s="117">
        <v>7</v>
      </c>
      <c r="D39" s="104" t="s">
        <v>170</v>
      </c>
      <c r="E39" s="94">
        <v>10000000</v>
      </c>
      <c r="F39" s="104"/>
      <c r="G39" s="104"/>
      <c r="H39" s="118">
        <f>C39*E39</f>
        <v>70000000</v>
      </c>
      <c r="J39" s="357"/>
    </row>
    <row r="40" spans="2:10" x14ac:dyDescent="0.2">
      <c r="B40" s="104" t="s">
        <v>172</v>
      </c>
      <c r="C40" s="104">
        <v>7</v>
      </c>
      <c r="D40" s="104" t="s">
        <v>73</v>
      </c>
      <c r="E40" s="94">
        <v>14500000</v>
      </c>
      <c r="F40" s="104"/>
      <c r="G40" s="104"/>
      <c r="H40" s="81">
        <f>C40*E40</f>
        <v>101500000</v>
      </c>
      <c r="J40" s="357"/>
    </row>
    <row r="41" spans="2:10" x14ac:dyDescent="0.2">
      <c r="B41" s="104" t="s">
        <v>79</v>
      </c>
      <c r="C41" s="104">
        <v>2</v>
      </c>
      <c r="D41" s="104" t="s">
        <v>145</v>
      </c>
      <c r="E41" s="81">
        <v>7862772</v>
      </c>
      <c r="F41" s="200"/>
      <c r="G41" s="104">
        <v>10</v>
      </c>
      <c r="H41" s="81">
        <f>C41*E41*G41</f>
        <v>157255440</v>
      </c>
      <c r="I41" s="44"/>
      <c r="J41" s="357"/>
    </row>
    <row r="42" spans="2:10" x14ac:dyDescent="0.2">
      <c r="B42" s="104" t="s">
        <v>158</v>
      </c>
      <c r="C42" s="104">
        <v>7</v>
      </c>
      <c r="D42" s="104" t="s">
        <v>145</v>
      </c>
      <c r="E42" s="81">
        <v>2682805</v>
      </c>
      <c r="F42" s="200"/>
      <c r="G42" s="104">
        <v>8</v>
      </c>
      <c r="H42" s="81">
        <f t="shared" ref="H42:H44" si="7">C42*E42*G42</f>
        <v>150237080</v>
      </c>
      <c r="J42" s="357"/>
    </row>
    <row r="43" spans="2:10" x14ac:dyDescent="0.2">
      <c r="B43" s="104" t="s">
        <v>56</v>
      </c>
      <c r="C43" s="104">
        <v>7</v>
      </c>
      <c r="D43" s="104" t="s">
        <v>145</v>
      </c>
      <c r="E43" s="81">
        <v>1300000</v>
      </c>
      <c r="F43" s="200"/>
      <c r="G43" s="104">
        <v>8</v>
      </c>
      <c r="H43" s="81">
        <f t="shared" si="7"/>
        <v>72800000</v>
      </c>
      <c r="J43" s="360"/>
    </row>
    <row r="44" spans="2:10" x14ac:dyDescent="0.2">
      <c r="B44" s="104" t="s">
        <v>178</v>
      </c>
      <c r="C44" s="104">
        <v>7</v>
      </c>
      <c r="D44" s="104" t="s">
        <v>179</v>
      </c>
      <c r="E44" s="81">
        <v>155000</v>
      </c>
      <c r="F44" s="200"/>
      <c r="G44" s="104">
        <v>8</v>
      </c>
      <c r="H44" s="81">
        <f t="shared" si="7"/>
        <v>8680000</v>
      </c>
      <c r="J44" s="360"/>
    </row>
    <row r="45" spans="2:10" ht="15" x14ac:dyDescent="0.25">
      <c r="B45" s="104" t="s">
        <v>171</v>
      </c>
      <c r="C45" s="104"/>
      <c r="D45" s="104"/>
      <c r="E45" s="104"/>
      <c r="F45" s="104"/>
      <c r="G45" s="104"/>
      <c r="H45" s="81" t="s">
        <v>67</v>
      </c>
      <c r="I45" s="114" t="s">
        <v>159</v>
      </c>
      <c r="J45" s="137"/>
    </row>
    <row r="46" spans="2:10" ht="15" x14ac:dyDescent="0.25">
      <c r="B46" s="85" t="s">
        <v>32</v>
      </c>
      <c r="C46" s="86"/>
      <c r="D46" s="86"/>
      <c r="E46" s="86"/>
      <c r="F46" s="87"/>
      <c r="G46" s="87"/>
      <c r="H46" s="88">
        <f>SUM(H25:H45)</f>
        <v>3356221904</v>
      </c>
      <c r="I46" s="114">
        <f>H46/12</f>
        <v>279685158.66666669</v>
      </c>
      <c r="J46" s="102"/>
    </row>
    <row r="47" spans="2:10" s="102" customFormat="1" ht="408.95" customHeight="1" x14ac:dyDescent="0.2">
      <c r="B47" s="131" t="s">
        <v>396</v>
      </c>
      <c r="C47" s="89"/>
      <c r="D47" s="121"/>
      <c r="E47" s="89"/>
      <c r="F47" s="116"/>
      <c r="G47" s="89"/>
      <c r="H47" s="89"/>
      <c r="I47" s="100"/>
    </row>
    <row r="48" spans="2:10" ht="15" x14ac:dyDescent="0.25">
      <c r="B48" s="109"/>
      <c r="C48" s="109"/>
      <c r="D48" s="109"/>
      <c r="E48" s="109"/>
      <c r="F48" s="109"/>
      <c r="G48" s="109"/>
      <c r="H48" s="109"/>
      <c r="I48" s="90"/>
    </row>
    <row r="49" spans="1:24" s="102" customFormat="1" ht="14.45" customHeight="1" x14ac:dyDescent="0.25">
      <c r="A49" s="91"/>
      <c r="B49" s="850" t="str">
        <f>B9</f>
        <v>6.2. Contribución al incremento del nivel educativo de los actores vinculados a la cadena.</v>
      </c>
      <c r="C49" s="851"/>
      <c r="D49" s="851"/>
      <c r="E49" s="851"/>
      <c r="F49" s="851"/>
      <c r="G49" s="851"/>
      <c r="H49" s="851"/>
    </row>
    <row r="50" spans="1:24" hidden="1" x14ac:dyDescent="0.2">
      <c r="B50" s="109"/>
      <c r="C50" s="109"/>
      <c r="D50" s="109"/>
      <c r="E50" s="109"/>
      <c r="F50" s="109"/>
      <c r="G50" s="109"/>
      <c r="H50" s="109"/>
    </row>
    <row r="51" spans="1:24" s="102" customFormat="1" ht="34.5" customHeight="1" x14ac:dyDescent="0.25">
      <c r="B51" s="854" t="str">
        <f>Portafolio_Cadena_Maíz!H82</f>
        <v>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v>
      </c>
      <c r="C51" s="855"/>
      <c r="D51" s="855"/>
      <c r="E51" s="855"/>
      <c r="F51" s="855"/>
      <c r="G51" s="855"/>
      <c r="H51" s="855"/>
      <c r="I51" s="414"/>
      <c r="X51" s="77"/>
    </row>
    <row r="52" spans="1:24" s="102" customFormat="1" ht="14.45" customHeight="1" x14ac:dyDescent="0.25">
      <c r="B52" s="854" t="str">
        <f>Portafolio_Cadena_Maíz!H83</f>
        <v>6.2.2. Promover convenios con las entidades competentes y establecer una red colaborativa, para fomentar el acceso a programas de educación básica primaria, secundaria y superior de los actores ocupados en la cadena de maíz.</v>
      </c>
      <c r="C52" s="855"/>
      <c r="D52" s="855"/>
      <c r="E52" s="855"/>
      <c r="F52" s="855"/>
      <c r="G52" s="855"/>
      <c r="H52" s="855"/>
      <c r="I52" s="414"/>
      <c r="X52" s="77"/>
    </row>
    <row r="53" spans="1:24" s="102" customFormat="1" ht="15" x14ac:dyDescent="0.25">
      <c r="B53" s="854" t="str">
        <f>Portafolio_Cadena_Maíz!H84</f>
        <v>6.2.3. Articular programas y gestionar incentivos y mecanismos de financiación, dirigidos a contribuir con la mejora al acceso, cobertura y calidad de la educación de los actores vinculados a la cadena de maíz.</v>
      </c>
      <c r="C53" s="855"/>
      <c r="D53" s="855"/>
      <c r="E53" s="855"/>
      <c r="F53" s="855"/>
      <c r="G53" s="855"/>
      <c r="H53" s="855"/>
      <c r="I53" s="414"/>
      <c r="X53" s="77"/>
    </row>
    <row r="54" spans="1:24" ht="30.6" customHeight="1" x14ac:dyDescent="0.25">
      <c r="B54" s="854" t="str">
        <f>Portafolio_Cadena_Maíz!H85</f>
        <v>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v>
      </c>
      <c r="C54" s="855"/>
      <c r="D54" s="855"/>
      <c r="E54" s="855"/>
      <c r="F54" s="855"/>
      <c r="G54" s="855"/>
      <c r="H54" s="855"/>
    </row>
    <row r="55" spans="1:24" ht="30.6" customHeight="1" x14ac:dyDescent="0.25">
      <c r="B55" s="396"/>
      <c r="C55" s="415"/>
      <c r="D55" s="415"/>
      <c r="E55" s="415"/>
      <c r="F55" s="415"/>
      <c r="G55" s="415"/>
      <c r="H55" s="415"/>
    </row>
    <row r="56" spans="1:24" x14ac:dyDescent="0.2">
      <c r="B56" s="413"/>
      <c r="C56" s="413"/>
      <c r="D56" s="413"/>
      <c r="E56" s="413"/>
      <c r="F56" s="413"/>
      <c r="G56" s="413"/>
      <c r="H56" s="413"/>
    </row>
    <row r="57" spans="1:24" ht="15" x14ac:dyDescent="0.25">
      <c r="B57" s="858" t="s">
        <v>595</v>
      </c>
      <c r="C57" s="859"/>
      <c r="D57" s="859"/>
      <c r="E57" s="859"/>
      <c r="F57" s="859"/>
      <c r="G57" s="859"/>
      <c r="H57" s="859"/>
    </row>
    <row r="58" spans="1:24" ht="15" x14ac:dyDescent="0.25">
      <c r="B58" s="78" t="s">
        <v>68</v>
      </c>
      <c r="C58" s="78" t="s">
        <v>58</v>
      </c>
      <c r="D58" s="78" t="s">
        <v>55</v>
      </c>
      <c r="E58" s="78" t="s">
        <v>54</v>
      </c>
      <c r="F58" s="78" t="s">
        <v>69</v>
      </c>
      <c r="G58" s="78" t="s">
        <v>70</v>
      </c>
      <c r="H58" s="78" t="s">
        <v>71</v>
      </c>
    </row>
    <row r="59" spans="1:24" s="102" customFormat="1" x14ac:dyDescent="0.2">
      <c r="A59" s="92"/>
      <c r="B59" s="119" t="s">
        <v>72</v>
      </c>
      <c r="C59" s="119">
        <v>15</v>
      </c>
      <c r="D59" s="103" t="s">
        <v>73</v>
      </c>
      <c r="E59" s="45">
        <v>500000</v>
      </c>
      <c r="F59" s="103"/>
      <c r="G59" s="103"/>
      <c r="H59" s="81">
        <f>C59*E59</f>
        <v>7500000</v>
      </c>
      <c r="I59" s="44"/>
      <c r="J59" s="137"/>
    </row>
    <row r="60" spans="1:24" s="102" customFormat="1" x14ac:dyDescent="0.2">
      <c r="B60" s="119" t="s">
        <v>74</v>
      </c>
      <c r="C60" s="119">
        <v>15</v>
      </c>
      <c r="D60" s="103" t="s">
        <v>73</v>
      </c>
      <c r="E60" s="45">
        <v>100000</v>
      </c>
      <c r="F60" s="103"/>
      <c r="G60" s="103"/>
      <c r="H60" s="81">
        <f>C60*E60</f>
        <v>1500000</v>
      </c>
      <c r="I60" s="44"/>
      <c r="J60" s="137"/>
    </row>
    <row r="61" spans="1:24" s="102" customFormat="1" x14ac:dyDescent="0.2">
      <c r="B61" s="119" t="s">
        <v>90</v>
      </c>
      <c r="C61" s="119">
        <v>15</v>
      </c>
      <c r="D61" s="103" t="s">
        <v>73</v>
      </c>
      <c r="E61" s="45">
        <v>2300000</v>
      </c>
      <c r="F61" s="103"/>
      <c r="G61" s="103"/>
      <c r="H61" s="81">
        <f t="shared" ref="H61:H62" si="8">C61*E61</f>
        <v>34500000</v>
      </c>
      <c r="I61" s="44"/>
      <c r="J61" s="137"/>
    </row>
    <row r="62" spans="1:24" x14ac:dyDescent="0.2">
      <c r="B62" s="119" t="s">
        <v>91</v>
      </c>
      <c r="C62" s="119">
        <v>15</v>
      </c>
      <c r="D62" s="103" t="s">
        <v>73</v>
      </c>
      <c r="E62" s="45">
        <v>460000</v>
      </c>
      <c r="F62" s="103"/>
      <c r="G62" s="103"/>
      <c r="H62" s="81">
        <f t="shared" si="8"/>
        <v>6900000</v>
      </c>
      <c r="I62" s="100"/>
      <c r="J62" s="137"/>
    </row>
    <row r="63" spans="1:24" x14ac:dyDescent="0.2">
      <c r="B63" s="103" t="s">
        <v>173</v>
      </c>
      <c r="C63" s="119">
        <f>7*100</f>
        <v>700</v>
      </c>
      <c r="D63" s="103" t="s">
        <v>73</v>
      </c>
      <c r="E63" s="108">
        <v>100000</v>
      </c>
      <c r="F63" s="103"/>
      <c r="G63" s="103"/>
      <c r="H63" s="81">
        <f>C63*E63</f>
        <v>70000000</v>
      </c>
      <c r="I63" s="44"/>
      <c r="J63" s="52"/>
    </row>
    <row r="64" spans="1:24" x14ac:dyDescent="0.2">
      <c r="B64" s="103" t="s">
        <v>182</v>
      </c>
      <c r="C64" s="119">
        <f>7*10</f>
        <v>70</v>
      </c>
      <c r="D64" s="103" t="s">
        <v>169</v>
      </c>
      <c r="E64" s="108">
        <v>300000</v>
      </c>
      <c r="F64" s="103"/>
      <c r="G64" s="103"/>
      <c r="H64" s="81">
        <f>C64*E64</f>
        <v>21000000</v>
      </c>
      <c r="I64" s="44"/>
      <c r="J64" s="52"/>
    </row>
    <row r="65" spans="1:24" x14ac:dyDescent="0.2">
      <c r="B65" s="103" t="s">
        <v>183</v>
      </c>
      <c r="C65" s="119">
        <f>7*10</f>
        <v>70</v>
      </c>
      <c r="D65" s="103" t="s">
        <v>169</v>
      </c>
      <c r="E65" s="108">
        <v>600000</v>
      </c>
      <c r="F65" s="103"/>
      <c r="G65" s="103"/>
      <c r="H65" s="81">
        <f>C65*E65</f>
        <v>42000000</v>
      </c>
      <c r="I65" s="44"/>
      <c r="J65" s="52"/>
    </row>
    <row r="66" spans="1:24" x14ac:dyDescent="0.2">
      <c r="B66" s="103" t="s">
        <v>186</v>
      </c>
      <c r="C66" s="119">
        <v>10</v>
      </c>
      <c r="D66" s="103" t="s">
        <v>73</v>
      </c>
      <c r="E66" s="108">
        <v>14500000</v>
      </c>
      <c r="F66" s="103"/>
      <c r="G66" s="103"/>
      <c r="H66" s="81">
        <f>C66*E66</f>
        <v>145000000</v>
      </c>
      <c r="I66" s="44"/>
      <c r="J66" s="52"/>
    </row>
    <row r="67" spans="1:24" x14ac:dyDescent="0.2">
      <c r="B67" s="119" t="s">
        <v>79</v>
      </c>
      <c r="C67" s="119">
        <v>2</v>
      </c>
      <c r="D67" s="103" t="s">
        <v>179</v>
      </c>
      <c r="E67" s="108">
        <v>7862772</v>
      </c>
      <c r="F67" s="93"/>
      <c r="G67" s="103">
        <v>10</v>
      </c>
      <c r="H67" s="81">
        <f>C67*E67*G67</f>
        <v>157255440</v>
      </c>
      <c r="I67" s="44"/>
      <c r="J67" s="52"/>
    </row>
    <row r="68" spans="1:24" x14ac:dyDescent="0.2">
      <c r="B68" s="103" t="s">
        <v>158</v>
      </c>
      <c r="C68" s="103">
        <v>7</v>
      </c>
      <c r="D68" s="103" t="s">
        <v>179</v>
      </c>
      <c r="E68" s="45">
        <v>2516084</v>
      </c>
      <c r="F68" s="97"/>
      <c r="G68" s="103">
        <v>8</v>
      </c>
      <c r="H68" s="81">
        <f t="shared" ref="H68:H70" si="9">C68*E68*G68</f>
        <v>140900704</v>
      </c>
      <c r="I68" s="44"/>
      <c r="J68" s="52"/>
    </row>
    <row r="69" spans="1:24" x14ac:dyDescent="0.2">
      <c r="B69" s="103" t="s">
        <v>56</v>
      </c>
      <c r="C69" s="103">
        <v>7</v>
      </c>
      <c r="D69" s="103" t="s">
        <v>179</v>
      </c>
      <c r="E69" s="45">
        <v>1300000</v>
      </c>
      <c r="F69" s="97"/>
      <c r="G69" s="103">
        <v>8</v>
      </c>
      <c r="H69" s="81">
        <f t="shared" si="9"/>
        <v>72800000</v>
      </c>
      <c r="I69" s="44"/>
      <c r="J69" s="52"/>
    </row>
    <row r="70" spans="1:24" x14ac:dyDescent="0.2">
      <c r="B70" s="103" t="s">
        <v>178</v>
      </c>
      <c r="C70" s="103">
        <v>7</v>
      </c>
      <c r="D70" s="103" t="s">
        <v>180</v>
      </c>
      <c r="E70" s="45">
        <v>155000</v>
      </c>
      <c r="F70" s="97"/>
      <c r="G70" s="103">
        <v>8</v>
      </c>
      <c r="H70" s="81">
        <f t="shared" si="9"/>
        <v>8680000</v>
      </c>
      <c r="I70" s="44"/>
      <c r="J70" s="52"/>
    </row>
    <row r="71" spans="1:24" x14ac:dyDescent="0.2">
      <c r="B71" s="103" t="s">
        <v>181</v>
      </c>
      <c r="C71" s="103"/>
      <c r="D71" s="103"/>
      <c r="E71" s="45"/>
      <c r="F71" s="103"/>
      <c r="G71" s="103"/>
      <c r="H71" s="81" t="s">
        <v>67</v>
      </c>
      <c r="I71" s="44"/>
      <c r="J71" s="52"/>
    </row>
    <row r="72" spans="1:24" x14ac:dyDescent="0.2">
      <c r="B72" s="95" t="s">
        <v>177</v>
      </c>
      <c r="C72" s="103"/>
      <c r="D72" s="103"/>
      <c r="E72" s="108"/>
      <c r="F72" s="96"/>
      <c r="G72" s="103"/>
      <c r="H72" s="81" t="s">
        <v>67</v>
      </c>
      <c r="I72" s="44"/>
      <c r="J72" s="52"/>
    </row>
    <row r="73" spans="1:24" ht="15" x14ac:dyDescent="0.25">
      <c r="B73" s="85" t="s">
        <v>85</v>
      </c>
      <c r="C73" s="86"/>
      <c r="D73" s="86"/>
      <c r="E73" s="87"/>
      <c r="F73" s="87"/>
      <c r="G73" s="86"/>
      <c r="H73" s="98">
        <f>SUM(H59:H72)</f>
        <v>708036144</v>
      </c>
      <c r="I73" s="98">
        <f>H73/12</f>
        <v>59003012</v>
      </c>
      <c r="J73" s="52"/>
    </row>
    <row r="74" spans="1:24" s="102" customFormat="1" ht="260.45" hidden="1" customHeight="1" x14ac:dyDescent="0.2">
      <c r="B74" s="99" t="s">
        <v>86</v>
      </c>
      <c r="C74" s="109"/>
      <c r="D74" s="109"/>
      <c r="E74" s="109"/>
      <c r="F74" s="109"/>
      <c r="G74" s="109"/>
      <c r="H74" s="109"/>
      <c r="J74" s="52"/>
    </row>
    <row r="75" spans="1:24" ht="204" x14ac:dyDescent="0.2">
      <c r="B75" s="131" t="s">
        <v>377</v>
      </c>
      <c r="C75" s="102"/>
      <c r="D75" s="102"/>
      <c r="E75" s="102"/>
      <c r="F75" s="77"/>
      <c r="G75" s="77"/>
      <c r="H75" s="102"/>
      <c r="J75" s="52"/>
    </row>
    <row r="76" spans="1:24" ht="27.95" customHeight="1" x14ac:dyDescent="0.25">
      <c r="B76" s="102"/>
      <c r="C76" s="102"/>
      <c r="D76" s="864"/>
      <c r="E76" s="864"/>
      <c r="F76" s="864"/>
      <c r="G76" s="864"/>
      <c r="H76" s="864"/>
      <c r="J76" s="52"/>
    </row>
    <row r="78" spans="1:24" s="102" customFormat="1" ht="14.45" customHeight="1" x14ac:dyDescent="0.25">
      <c r="A78" s="91"/>
      <c r="B78" s="850" t="str">
        <f>B10</f>
        <v>6.3. Promoción al  acceso en la seguridad social y mejora en las condiciones laborales a lo largo de la cadena</v>
      </c>
      <c r="C78" s="851"/>
      <c r="D78" s="851"/>
      <c r="E78" s="851"/>
      <c r="F78" s="851"/>
      <c r="G78" s="851"/>
      <c r="H78" s="851"/>
    </row>
    <row r="79" spans="1:24" hidden="1" x14ac:dyDescent="0.2">
      <c r="B79" s="109"/>
      <c r="C79" s="109"/>
      <c r="D79" s="109"/>
      <c r="E79" s="109"/>
      <c r="F79" s="109"/>
      <c r="G79" s="109"/>
      <c r="H79" s="109"/>
    </row>
    <row r="80" spans="1:24" s="102" customFormat="1" ht="40.5" customHeight="1" x14ac:dyDescent="0.25">
      <c r="B80" s="854" t="str">
        <f>Portafolio_Cadena_Maíz!H86</f>
        <v xml:space="preserve">6.3.1. Analizar la normatividad laboral vigente para generar y gestionar estructuras que permitan extender los beneficios de la seguridad social, a los esquemas de trabajo particulares de la actividad maicera de los pequeños y medianos productores.  </v>
      </c>
      <c r="C80" s="855"/>
      <c r="D80" s="855"/>
      <c r="E80" s="855"/>
      <c r="F80" s="855"/>
      <c r="G80" s="855"/>
      <c r="H80" s="855"/>
      <c r="I80" s="414"/>
      <c r="X80" s="77"/>
    </row>
    <row r="81" spans="1:24" s="102" customFormat="1" ht="14.45" customHeight="1" x14ac:dyDescent="0.25">
      <c r="B81" s="854" t="str">
        <f>Portafolio_Cadena_Maíz!H87</f>
        <v>6.3.2. Realizar campañas de sensibilización para promover la inclusión social en los sistemas de seguridad social y la formalización laboral a lo largo de toda la cadena productiva.</v>
      </c>
      <c r="C81" s="855"/>
      <c r="D81" s="855"/>
      <c r="E81" s="855"/>
      <c r="F81" s="855"/>
      <c r="G81" s="855"/>
      <c r="H81" s="855"/>
      <c r="I81" s="414"/>
      <c r="X81" s="77"/>
    </row>
    <row r="82" spans="1:24" s="102" customFormat="1" ht="14.45" customHeight="1" x14ac:dyDescent="0.25">
      <c r="B82" s="854" t="str">
        <f>Portafolio_Cadena_Maíz!H88</f>
        <v>6.3.3. Realizar capacitación y brindar acompañamiento técnico dirigido a los agentes económicos de la cadena maicera, relacionado con aspectos laborales, financieros y tributarios.</v>
      </c>
      <c r="C82" s="855"/>
      <c r="D82" s="855"/>
      <c r="E82" s="855"/>
      <c r="F82" s="855"/>
      <c r="G82" s="855"/>
      <c r="H82" s="855"/>
      <c r="I82" s="414"/>
      <c r="X82" s="77"/>
    </row>
    <row r="83" spans="1:24" ht="30.6" customHeight="1" x14ac:dyDescent="0.25">
      <c r="B83" s="854" t="str">
        <f>Portafolio_Cadena_Maíz!H89</f>
        <v>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v>
      </c>
      <c r="C83" s="855"/>
      <c r="D83" s="855"/>
      <c r="E83" s="855"/>
      <c r="F83" s="855"/>
      <c r="G83" s="855"/>
      <c r="H83" s="855"/>
    </row>
    <row r="84" spans="1:24" ht="14.45" customHeight="1" x14ac:dyDescent="0.25">
      <c r="B84" s="854"/>
      <c r="C84" s="855"/>
      <c r="D84" s="855"/>
      <c r="E84" s="855"/>
      <c r="F84" s="855"/>
      <c r="G84" s="855"/>
      <c r="H84" s="855"/>
    </row>
    <row r="85" spans="1:24" ht="15" x14ac:dyDescent="0.25">
      <c r="B85" s="854"/>
      <c r="C85" s="855"/>
      <c r="D85" s="855"/>
      <c r="E85" s="855"/>
      <c r="F85" s="855"/>
      <c r="G85" s="855"/>
      <c r="H85" s="855"/>
    </row>
    <row r="86" spans="1:24" ht="14.45" customHeight="1" x14ac:dyDescent="0.25">
      <c r="B86" s="858" t="s">
        <v>595</v>
      </c>
      <c r="C86" s="859"/>
      <c r="D86" s="859"/>
      <c r="E86" s="859"/>
      <c r="F86" s="859"/>
      <c r="G86" s="859"/>
      <c r="H86" s="859"/>
    </row>
    <row r="87" spans="1:24" ht="15" x14ac:dyDescent="0.25">
      <c r="B87" s="78" t="s">
        <v>68</v>
      </c>
      <c r="C87" s="78" t="s">
        <v>58</v>
      </c>
      <c r="D87" s="78" t="s">
        <v>55</v>
      </c>
      <c r="E87" s="78" t="s">
        <v>54</v>
      </c>
      <c r="F87" s="78" t="s">
        <v>69</v>
      </c>
      <c r="G87" s="78" t="s">
        <v>70</v>
      </c>
      <c r="H87" s="78" t="s">
        <v>71</v>
      </c>
    </row>
    <row r="88" spans="1:24" x14ac:dyDescent="0.2">
      <c r="B88" s="123" t="s">
        <v>72</v>
      </c>
      <c r="C88" s="123">
        <v>12</v>
      </c>
      <c r="D88" s="123" t="s">
        <v>73</v>
      </c>
      <c r="E88" s="50">
        <v>500000</v>
      </c>
      <c r="F88" s="123"/>
      <c r="G88" s="123"/>
      <c r="H88" s="50">
        <f t="shared" ref="H88:H95" si="10">C88*E88</f>
        <v>6000000</v>
      </c>
      <c r="I88" s="44"/>
      <c r="J88" s="52"/>
    </row>
    <row r="89" spans="1:24" s="102" customFormat="1" x14ac:dyDescent="0.2">
      <c r="A89" s="92"/>
      <c r="B89" s="123" t="s">
        <v>74</v>
      </c>
      <c r="C89" s="123">
        <v>12</v>
      </c>
      <c r="D89" s="123" t="s">
        <v>73</v>
      </c>
      <c r="E89" s="50">
        <v>100000</v>
      </c>
      <c r="F89" s="123"/>
      <c r="G89" s="123"/>
      <c r="H89" s="50">
        <f t="shared" si="10"/>
        <v>1200000</v>
      </c>
      <c r="I89" s="44"/>
      <c r="J89" s="137"/>
    </row>
    <row r="90" spans="1:24" s="102" customFormat="1" x14ac:dyDescent="0.2">
      <c r="B90" s="123" t="s">
        <v>90</v>
      </c>
      <c r="C90" s="123">
        <v>15</v>
      </c>
      <c r="D90" s="123" t="s">
        <v>73</v>
      </c>
      <c r="E90" s="50">
        <v>2300000</v>
      </c>
      <c r="F90" s="123"/>
      <c r="G90" s="123"/>
      <c r="H90" s="50">
        <f t="shared" si="10"/>
        <v>34500000</v>
      </c>
      <c r="I90" s="44"/>
      <c r="J90" s="137"/>
    </row>
    <row r="91" spans="1:24" s="102" customFormat="1" x14ac:dyDescent="0.2">
      <c r="B91" s="123" t="s">
        <v>147</v>
      </c>
      <c r="C91" s="123">
        <v>15</v>
      </c>
      <c r="D91" s="123" t="s">
        <v>73</v>
      </c>
      <c r="E91" s="50">
        <v>460000</v>
      </c>
      <c r="F91" s="123"/>
      <c r="G91" s="123"/>
      <c r="H91" s="50">
        <f t="shared" si="10"/>
        <v>6900000</v>
      </c>
      <c r="I91" s="44"/>
      <c r="J91" s="137"/>
    </row>
    <row r="92" spans="1:24" x14ac:dyDescent="0.2">
      <c r="B92" s="123" t="s">
        <v>103</v>
      </c>
      <c r="C92" s="123">
        <v>7</v>
      </c>
      <c r="D92" s="123" t="s">
        <v>73</v>
      </c>
      <c r="E92" s="50">
        <v>142800000</v>
      </c>
      <c r="F92" s="123"/>
      <c r="G92" s="123"/>
      <c r="H92" s="50">
        <f t="shared" si="10"/>
        <v>999600000</v>
      </c>
      <c r="I92" s="100"/>
      <c r="J92" s="137"/>
    </row>
    <row r="93" spans="1:24" x14ac:dyDescent="0.2">
      <c r="B93" s="123" t="s">
        <v>173</v>
      </c>
      <c r="C93" s="123">
        <v>7</v>
      </c>
      <c r="D93" s="123" t="s">
        <v>73</v>
      </c>
      <c r="E93" s="50">
        <v>7000000</v>
      </c>
      <c r="F93" s="123"/>
      <c r="G93" s="123"/>
      <c r="H93" s="50">
        <f t="shared" si="10"/>
        <v>49000000</v>
      </c>
      <c r="I93" s="100"/>
      <c r="J93" s="137"/>
    </row>
    <row r="94" spans="1:24" x14ac:dyDescent="0.2">
      <c r="B94" s="119" t="s">
        <v>76</v>
      </c>
      <c r="C94" s="119">
        <v>15</v>
      </c>
      <c r="D94" s="103" t="s">
        <v>65</v>
      </c>
      <c r="E94" s="45">
        <v>6000000</v>
      </c>
      <c r="F94" s="97"/>
      <c r="G94" s="103"/>
      <c r="H94" s="81">
        <f t="shared" si="10"/>
        <v>90000000</v>
      </c>
      <c r="I94" s="100"/>
      <c r="J94" s="137"/>
    </row>
    <row r="95" spans="1:24" x14ac:dyDescent="0.2">
      <c r="B95" s="120" t="s">
        <v>77</v>
      </c>
      <c r="C95" s="120">
        <v>15</v>
      </c>
      <c r="D95" s="103" t="s">
        <v>65</v>
      </c>
      <c r="E95" s="45">
        <v>1800000</v>
      </c>
      <c r="F95" s="97"/>
      <c r="G95" s="103"/>
      <c r="H95" s="81">
        <f t="shared" si="10"/>
        <v>27000000</v>
      </c>
      <c r="I95" s="100"/>
      <c r="J95" s="137"/>
    </row>
    <row r="96" spans="1:24" x14ac:dyDescent="0.2">
      <c r="B96" s="119" t="s">
        <v>162</v>
      </c>
      <c r="C96" s="120">
        <v>15</v>
      </c>
      <c r="D96" s="103" t="s">
        <v>143</v>
      </c>
      <c r="E96" s="45">
        <v>1500000</v>
      </c>
      <c r="F96" s="97"/>
      <c r="G96" s="103"/>
      <c r="H96" s="81">
        <f>C95*E95</f>
        <v>27000000</v>
      </c>
      <c r="I96" s="100"/>
      <c r="J96" s="137"/>
    </row>
    <row r="97" spans="1:24" s="102" customFormat="1" x14ac:dyDescent="0.2">
      <c r="A97" s="92"/>
      <c r="B97" s="119" t="s">
        <v>174</v>
      </c>
      <c r="C97" s="119">
        <v>15</v>
      </c>
      <c r="D97" s="103" t="s">
        <v>143</v>
      </c>
      <c r="E97" s="45">
        <v>450000</v>
      </c>
      <c r="F97" s="97"/>
      <c r="G97" s="103"/>
      <c r="H97" s="81">
        <f>C97*E97</f>
        <v>6750000</v>
      </c>
      <c r="I97" s="83"/>
      <c r="J97" s="137"/>
    </row>
    <row r="98" spans="1:24" x14ac:dyDescent="0.2">
      <c r="B98" s="124" t="s">
        <v>189</v>
      </c>
      <c r="C98" s="125">
        <f>7*10</f>
        <v>70</v>
      </c>
      <c r="D98" s="125" t="s">
        <v>73</v>
      </c>
      <c r="E98" s="126">
        <v>1610000</v>
      </c>
      <c r="F98" s="125"/>
      <c r="G98" s="125"/>
      <c r="H98" s="126">
        <f>C98*E98</f>
        <v>112700000</v>
      </c>
      <c r="I98" s="100"/>
      <c r="J98" s="137"/>
    </row>
    <row r="99" spans="1:24" x14ac:dyDescent="0.2">
      <c r="B99" s="123" t="s">
        <v>190</v>
      </c>
      <c r="C99" s="123">
        <f>7*10</f>
        <v>70</v>
      </c>
      <c r="D99" s="123" t="s">
        <v>73</v>
      </c>
      <c r="E99" s="50">
        <v>8954882.5200000014</v>
      </c>
      <c r="F99" s="123"/>
      <c r="G99" s="123"/>
      <c r="H99" s="50">
        <f>C99*E99</f>
        <v>626841776.4000001</v>
      </c>
      <c r="I99" s="100"/>
      <c r="J99" s="137"/>
    </row>
    <row r="100" spans="1:24" x14ac:dyDescent="0.2">
      <c r="B100" s="123" t="s">
        <v>210</v>
      </c>
      <c r="C100" s="123">
        <v>2</v>
      </c>
      <c r="D100" s="123" t="s">
        <v>73</v>
      </c>
      <c r="E100" s="50">
        <v>7862772</v>
      </c>
      <c r="F100" s="127"/>
      <c r="G100" s="123">
        <v>10</v>
      </c>
      <c r="H100" s="128">
        <f>C100*E100*G100</f>
        <v>157255440</v>
      </c>
      <c r="I100" s="100"/>
      <c r="J100" s="137"/>
    </row>
    <row r="101" spans="1:24" x14ac:dyDescent="0.2">
      <c r="B101" s="103" t="s">
        <v>158</v>
      </c>
      <c r="C101" s="103">
        <v>7</v>
      </c>
      <c r="D101" s="103" t="s">
        <v>179</v>
      </c>
      <c r="E101" s="45">
        <v>3145107</v>
      </c>
      <c r="F101" s="97"/>
      <c r="G101" s="103">
        <v>10</v>
      </c>
      <c r="H101" s="128">
        <f t="shared" ref="H101:H103" si="11">C101*E101*G101</f>
        <v>220157490</v>
      </c>
      <c r="I101" s="44"/>
      <c r="J101" s="52"/>
    </row>
    <row r="102" spans="1:24" x14ac:dyDescent="0.2">
      <c r="B102" s="103" t="s">
        <v>56</v>
      </c>
      <c r="C102" s="103">
        <v>7</v>
      </c>
      <c r="D102" s="103" t="s">
        <v>145</v>
      </c>
      <c r="E102" s="45">
        <v>1300000</v>
      </c>
      <c r="F102" s="97"/>
      <c r="G102" s="103">
        <v>10</v>
      </c>
      <c r="H102" s="128">
        <f t="shared" si="11"/>
        <v>91000000</v>
      </c>
      <c r="I102" s="44"/>
      <c r="J102" s="52"/>
    </row>
    <row r="103" spans="1:24" x14ac:dyDescent="0.2">
      <c r="B103" s="103" t="s">
        <v>178</v>
      </c>
      <c r="C103" s="103">
        <v>7</v>
      </c>
      <c r="D103" s="103" t="s">
        <v>180</v>
      </c>
      <c r="E103" s="45">
        <v>155000</v>
      </c>
      <c r="F103" s="97"/>
      <c r="G103" s="103">
        <v>10</v>
      </c>
      <c r="H103" s="128">
        <f t="shared" si="11"/>
        <v>10850000</v>
      </c>
      <c r="I103" s="44"/>
      <c r="J103" s="52"/>
    </row>
    <row r="104" spans="1:24" x14ac:dyDescent="0.2">
      <c r="B104" s="129" t="s">
        <v>171</v>
      </c>
      <c r="C104" s="129"/>
      <c r="D104" s="129"/>
      <c r="E104" s="51"/>
      <c r="F104" s="129"/>
      <c r="G104" s="129"/>
      <c r="H104" s="50" t="s">
        <v>67</v>
      </c>
      <c r="I104" s="44"/>
      <c r="J104" s="52"/>
    </row>
    <row r="105" spans="1:24" ht="15" x14ac:dyDescent="0.25">
      <c r="B105" s="85" t="s">
        <v>85</v>
      </c>
      <c r="C105" s="86"/>
      <c r="D105" s="86"/>
      <c r="E105" s="87"/>
      <c r="F105" s="87"/>
      <c r="G105" s="86"/>
      <c r="H105" s="98">
        <f>SUM(H88:H104)</f>
        <v>2466754706.4000001</v>
      </c>
      <c r="I105" s="98">
        <f>H105/12</f>
        <v>205562892.20000002</v>
      </c>
    </row>
    <row r="106" spans="1:24" s="102" customFormat="1" ht="260.45" hidden="1" customHeight="1" x14ac:dyDescent="0.2">
      <c r="B106" s="99" t="s">
        <v>86</v>
      </c>
      <c r="C106" s="109"/>
      <c r="D106" s="109"/>
      <c r="E106" s="109"/>
      <c r="F106" s="109"/>
      <c r="G106" s="109"/>
      <c r="H106" s="109"/>
      <c r="J106" s="101"/>
    </row>
    <row r="107" spans="1:24" ht="235.5" customHeight="1" x14ac:dyDescent="0.2">
      <c r="B107" s="323" t="s">
        <v>393</v>
      </c>
      <c r="C107" s="102"/>
      <c r="D107" s="102"/>
      <c r="E107" s="102"/>
      <c r="F107" s="77"/>
      <c r="G107" s="77"/>
      <c r="H107" s="102"/>
    </row>
    <row r="108" spans="1:24" x14ac:dyDescent="0.2">
      <c r="B108" s="201"/>
      <c r="C108" s="102"/>
      <c r="D108" s="102"/>
      <c r="E108" s="102"/>
      <c r="F108" s="77"/>
      <c r="G108" s="77"/>
      <c r="H108" s="102"/>
    </row>
    <row r="109" spans="1:24" s="102" customFormat="1" ht="14.45" customHeight="1" x14ac:dyDescent="0.25">
      <c r="A109" s="91"/>
      <c r="B109" s="850" t="str">
        <f>B11</f>
        <v>6.4. Contribución a la mejora de condiciones de conectividad vial y de servicios públicos, en las regiones maiceras.</v>
      </c>
      <c r="C109" s="851"/>
      <c r="D109" s="851"/>
      <c r="E109" s="851"/>
      <c r="F109" s="851"/>
      <c r="G109" s="851"/>
      <c r="H109" s="851"/>
    </row>
    <row r="110" spans="1:24" hidden="1" x14ac:dyDescent="0.2">
      <c r="B110" s="208"/>
      <c r="C110" s="208"/>
      <c r="D110" s="208"/>
      <c r="E110" s="208"/>
      <c r="F110" s="208"/>
      <c r="G110" s="208"/>
      <c r="H110" s="208"/>
    </row>
    <row r="111" spans="1:24" s="102" customFormat="1" ht="28.5" customHeight="1" x14ac:dyDescent="0.25">
      <c r="B111" s="854" t="str">
        <f>Portafolio_Cadena_Maíz!H90</f>
        <v>6.4.1. Priorizar zonas estratégicas de intervención, para el mejoramiento de la infraestructura de conectividad vial y cobertura de servicios públicos en las regiones maiceras, acordes con proyectos de inversión privada en la producción y procesamiento de maíz.</v>
      </c>
      <c r="C111" s="855"/>
      <c r="D111" s="855"/>
      <c r="E111" s="855"/>
      <c r="F111" s="855"/>
      <c r="G111" s="855"/>
      <c r="H111" s="855"/>
      <c r="I111" s="414"/>
      <c r="X111" s="77"/>
    </row>
    <row r="112" spans="1:24" s="102" customFormat="1" ht="28.5" customHeight="1" x14ac:dyDescent="0.25">
      <c r="B112" s="854" t="str">
        <f>Portafolio_Cadena_Maíz!H91</f>
        <v>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v>
      </c>
      <c r="C112" s="855"/>
      <c r="D112" s="855"/>
      <c r="E112" s="855"/>
      <c r="F112" s="855"/>
      <c r="G112" s="855"/>
      <c r="H112" s="855"/>
      <c r="I112" s="414"/>
      <c r="X112" s="77"/>
    </row>
    <row r="113" spans="1:24" s="102" customFormat="1" ht="38.450000000000003" customHeight="1" x14ac:dyDescent="0.25">
      <c r="B113" s="854" t="str">
        <f>Portafolio_Cadena_Maíz!H92</f>
        <v>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v>
      </c>
      <c r="C113" s="855"/>
      <c r="D113" s="855"/>
      <c r="E113" s="855"/>
      <c r="F113" s="855"/>
      <c r="G113" s="855"/>
      <c r="H113" s="855"/>
      <c r="I113" s="414"/>
      <c r="X113" s="77"/>
    </row>
    <row r="114" spans="1:24" s="102" customFormat="1" ht="38.450000000000003" customHeight="1" x14ac:dyDescent="0.25">
      <c r="B114" s="396"/>
      <c r="C114" s="415"/>
      <c r="D114" s="415"/>
      <c r="E114" s="415"/>
      <c r="F114" s="415"/>
      <c r="G114" s="415"/>
      <c r="H114" s="415"/>
      <c r="I114" s="414"/>
      <c r="X114" s="77"/>
    </row>
    <row r="115" spans="1:24" s="102" customFormat="1" ht="14.45" customHeight="1" x14ac:dyDescent="0.25">
      <c r="B115" s="396"/>
      <c r="C115" s="415"/>
      <c r="D115" s="415"/>
      <c r="E115" s="415"/>
      <c r="F115" s="415"/>
      <c r="G115" s="415"/>
      <c r="H115" s="415"/>
      <c r="I115" s="414"/>
      <c r="X115" s="77"/>
    </row>
    <row r="116" spans="1:24" ht="15" x14ac:dyDescent="0.25">
      <c r="B116" s="858" t="s">
        <v>595</v>
      </c>
      <c r="C116" s="859"/>
      <c r="D116" s="859"/>
      <c r="E116" s="859"/>
      <c r="F116" s="859"/>
      <c r="G116" s="859"/>
      <c r="H116" s="859"/>
    </row>
    <row r="117" spans="1:24" ht="15" x14ac:dyDescent="0.25">
      <c r="B117" s="78" t="s">
        <v>68</v>
      </c>
      <c r="C117" s="78" t="s">
        <v>58</v>
      </c>
      <c r="D117" s="78" t="s">
        <v>55</v>
      </c>
      <c r="E117" s="78" t="s">
        <v>54</v>
      </c>
      <c r="F117" s="78" t="s">
        <v>69</v>
      </c>
      <c r="G117" s="78" t="s">
        <v>70</v>
      </c>
      <c r="H117" s="78" t="s">
        <v>71</v>
      </c>
    </row>
    <row r="118" spans="1:24" x14ac:dyDescent="0.2">
      <c r="B118" s="123" t="s">
        <v>72</v>
      </c>
      <c r="C118" s="123">
        <v>12</v>
      </c>
      <c r="D118" s="123" t="s">
        <v>73</v>
      </c>
      <c r="E118" s="50">
        <v>500000</v>
      </c>
      <c r="F118" s="123"/>
      <c r="G118" s="123"/>
      <c r="H118" s="50">
        <f t="shared" ref="H118:H121" si="12">C118*E118</f>
        <v>6000000</v>
      </c>
      <c r="I118" s="44"/>
      <c r="J118" s="52"/>
    </row>
    <row r="119" spans="1:24" s="102" customFormat="1" x14ac:dyDescent="0.2">
      <c r="A119" s="92"/>
      <c r="B119" s="123" t="s">
        <v>74</v>
      </c>
      <c r="C119" s="123">
        <v>12</v>
      </c>
      <c r="D119" s="123" t="s">
        <v>73</v>
      </c>
      <c r="E119" s="50">
        <v>100000</v>
      </c>
      <c r="F119" s="123"/>
      <c r="G119" s="123"/>
      <c r="H119" s="50">
        <f t="shared" si="12"/>
        <v>1200000</v>
      </c>
      <c r="I119" s="44"/>
      <c r="J119" s="137"/>
    </row>
    <row r="120" spans="1:24" s="102" customFormat="1" x14ac:dyDescent="0.2">
      <c r="B120" s="123" t="s">
        <v>90</v>
      </c>
      <c r="C120" s="123">
        <f>7*2</f>
        <v>14</v>
      </c>
      <c r="D120" s="123" t="s">
        <v>73</v>
      </c>
      <c r="E120" s="50">
        <v>2300000</v>
      </c>
      <c r="F120" s="123"/>
      <c r="G120" s="123"/>
      <c r="H120" s="50">
        <f t="shared" si="12"/>
        <v>32200000</v>
      </c>
      <c r="I120" s="44"/>
      <c r="J120" s="137"/>
    </row>
    <row r="121" spans="1:24" s="102" customFormat="1" x14ac:dyDescent="0.2">
      <c r="B121" s="123" t="s">
        <v>147</v>
      </c>
      <c r="C121" s="123">
        <f>7*2</f>
        <v>14</v>
      </c>
      <c r="D121" s="123" t="s">
        <v>73</v>
      </c>
      <c r="E121" s="50">
        <v>460000</v>
      </c>
      <c r="F121" s="123"/>
      <c r="G121" s="123"/>
      <c r="H121" s="50">
        <f t="shared" si="12"/>
        <v>6440000</v>
      </c>
      <c r="I121" s="44"/>
      <c r="J121" s="137"/>
    </row>
    <row r="122" spans="1:24" s="102" customFormat="1" x14ac:dyDescent="0.2">
      <c r="B122" s="123" t="s">
        <v>394</v>
      </c>
      <c r="C122" s="123">
        <v>1</v>
      </c>
      <c r="D122" s="123" t="s">
        <v>73</v>
      </c>
      <c r="E122" s="50">
        <v>10850628</v>
      </c>
      <c r="F122" s="123"/>
      <c r="G122" s="123">
        <v>5</v>
      </c>
      <c r="H122" s="50">
        <f>C122*E122*G122</f>
        <v>54253140</v>
      </c>
      <c r="I122" s="44"/>
      <c r="J122" s="137"/>
    </row>
    <row r="123" spans="1:24" s="102" customFormat="1" x14ac:dyDescent="0.2">
      <c r="B123" s="123" t="s">
        <v>319</v>
      </c>
      <c r="C123" s="123">
        <v>7</v>
      </c>
      <c r="D123" s="123" t="s">
        <v>73</v>
      </c>
      <c r="E123" s="50">
        <v>2774088</v>
      </c>
      <c r="F123" s="123"/>
      <c r="G123" s="123"/>
      <c r="H123" s="50">
        <f>C123*E123</f>
        <v>19418616</v>
      </c>
      <c r="I123" s="44"/>
      <c r="J123" s="137"/>
    </row>
    <row r="124" spans="1:24" x14ac:dyDescent="0.2">
      <c r="B124" s="123" t="s">
        <v>79</v>
      </c>
      <c r="C124" s="123">
        <v>2</v>
      </c>
      <c r="D124" s="123" t="s">
        <v>73</v>
      </c>
      <c r="E124" s="50">
        <v>7862772</v>
      </c>
      <c r="F124" s="127"/>
      <c r="G124" s="123">
        <v>10</v>
      </c>
      <c r="H124" s="128">
        <f>C124*E124*G124</f>
        <v>157255440</v>
      </c>
      <c r="I124" s="100"/>
      <c r="J124" s="137"/>
    </row>
    <row r="125" spans="1:24" x14ac:dyDescent="0.2">
      <c r="B125" s="103" t="s">
        <v>158</v>
      </c>
      <c r="C125" s="103">
        <v>7</v>
      </c>
      <c r="D125" s="103" t="s">
        <v>179</v>
      </c>
      <c r="E125" s="45">
        <v>3145107</v>
      </c>
      <c r="F125" s="97"/>
      <c r="G125" s="103">
        <v>10</v>
      </c>
      <c r="H125" s="128">
        <f t="shared" ref="H125:H127" si="13">C125*E125*G125</f>
        <v>220157490</v>
      </c>
      <c r="I125" s="44"/>
      <c r="J125" s="52"/>
    </row>
    <row r="126" spans="1:24" x14ac:dyDescent="0.2">
      <c r="B126" s="103" t="s">
        <v>56</v>
      </c>
      <c r="C126" s="103">
        <v>7</v>
      </c>
      <c r="D126" s="103" t="s">
        <v>145</v>
      </c>
      <c r="E126" s="45">
        <v>1300000</v>
      </c>
      <c r="F126" s="97"/>
      <c r="G126" s="103">
        <v>10</v>
      </c>
      <c r="H126" s="128">
        <f t="shared" si="13"/>
        <v>91000000</v>
      </c>
      <c r="I126" s="44"/>
      <c r="J126" s="52"/>
    </row>
    <row r="127" spans="1:24" x14ac:dyDescent="0.2">
      <c r="B127" s="103" t="s">
        <v>178</v>
      </c>
      <c r="C127" s="103">
        <v>7</v>
      </c>
      <c r="D127" s="103" t="s">
        <v>180</v>
      </c>
      <c r="E127" s="45">
        <v>155000</v>
      </c>
      <c r="F127" s="97"/>
      <c r="G127" s="103">
        <v>10</v>
      </c>
      <c r="H127" s="128">
        <f t="shared" si="13"/>
        <v>10850000</v>
      </c>
      <c r="I127" s="44"/>
      <c r="J127" s="52"/>
    </row>
    <row r="128" spans="1:24" x14ac:dyDescent="0.2">
      <c r="B128" s="129" t="s">
        <v>177</v>
      </c>
      <c r="C128" s="129"/>
      <c r="D128" s="129"/>
      <c r="E128" s="51"/>
      <c r="F128" s="129"/>
      <c r="G128" s="129"/>
      <c r="H128" s="50" t="s">
        <v>67</v>
      </c>
      <c r="I128" s="44"/>
      <c r="J128" s="52"/>
    </row>
    <row r="129" spans="2:10" ht="15" x14ac:dyDescent="0.25">
      <c r="B129" s="85" t="s">
        <v>85</v>
      </c>
      <c r="C129" s="86"/>
      <c r="D129" s="86"/>
      <c r="E129" s="87"/>
      <c r="F129" s="87"/>
      <c r="G129" s="86"/>
      <c r="H129" s="98">
        <f>SUM(H118:H128)</f>
        <v>598774686</v>
      </c>
      <c r="I129" s="98">
        <f>H129/12</f>
        <v>49897890.5</v>
      </c>
      <c r="J129" s="52"/>
    </row>
    <row r="130" spans="2:10" s="102" customFormat="1" ht="260.45" hidden="1" customHeight="1" x14ac:dyDescent="0.25">
      <c r="B130" s="99" t="s">
        <v>86</v>
      </c>
      <c r="C130" s="208"/>
      <c r="D130" s="208"/>
      <c r="E130" s="208"/>
      <c r="F130" s="208"/>
      <c r="G130" s="208"/>
      <c r="H130" s="98">
        <f>SUM(H119:H129)</f>
        <v>1191549372</v>
      </c>
      <c r="J130" s="101"/>
    </row>
    <row r="131" spans="2:10" ht="231" customHeight="1" x14ac:dyDescent="0.2">
      <c r="B131" s="131" t="s">
        <v>395</v>
      </c>
      <c r="C131" s="102"/>
      <c r="D131" s="102"/>
      <c r="E131" s="102"/>
      <c r="F131" s="77"/>
    </row>
  </sheetData>
  <sheetProtection algorithmName="SHA-512" hashValue="0Mj413YD6Okv/NavR16gNIPzYPUDtzhNPmZbgJv9zJDWihrQeYEhStb27awmSslf7qtOoVVwpuJx6hJZx615cA==" saltValue="4Y5uVgZ8V+AQrxQeuYJZYQ==" spinCount="100000" sheet="1" objects="1" scenarios="1"/>
  <mergeCells count="28">
    <mergeCell ref="B52:H52"/>
    <mergeCell ref="B53:H53"/>
    <mergeCell ref="B54:H54"/>
    <mergeCell ref="B57:H57"/>
    <mergeCell ref="B80:H80"/>
    <mergeCell ref="B81:H81"/>
    <mergeCell ref="B82:H82"/>
    <mergeCell ref="B83:H83"/>
    <mergeCell ref="B15:H16"/>
    <mergeCell ref="B49:H49"/>
    <mergeCell ref="D76:H76"/>
    <mergeCell ref="B78:H78"/>
    <mergeCell ref="B17:H17"/>
    <mergeCell ref="B18:H18"/>
    <mergeCell ref="B19:H19"/>
    <mergeCell ref="B20:H20"/>
    <mergeCell ref="B21:H21"/>
    <mergeCell ref="B23:H23"/>
    <mergeCell ref="B22:H22"/>
    <mergeCell ref="B51:H51"/>
    <mergeCell ref="B113:H113"/>
    <mergeCell ref="B116:H116"/>
    <mergeCell ref="B84:H84"/>
    <mergeCell ref="B85:H85"/>
    <mergeCell ref="B86:H86"/>
    <mergeCell ref="B111:H111"/>
    <mergeCell ref="B112:H112"/>
    <mergeCell ref="B109:H10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6"/>
  <sheetViews>
    <sheetView showGridLines="0" zoomScale="60" zoomScaleNormal="60" workbookViewId="0">
      <selection activeCell="B75" sqref="B75"/>
    </sheetView>
  </sheetViews>
  <sheetFormatPr baseColWidth="10" defaultColWidth="10.7109375" defaultRowHeight="14.25" x14ac:dyDescent="0.2"/>
  <cols>
    <col min="1" max="1" width="13.42578125" style="101" customWidth="1"/>
    <col min="2" max="2" width="67.42578125" style="101" customWidth="1"/>
    <col min="3" max="3" width="26.5703125" style="101" customWidth="1"/>
    <col min="4" max="4" width="27.140625" style="101" customWidth="1"/>
    <col min="5" max="5" width="22.42578125" style="101" customWidth="1"/>
    <col min="6" max="7" width="19.7109375" style="101" bestFit="1" customWidth="1"/>
    <col min="8" max="8" width="21.5703125" style="101" customWidth="1"/>
    <col min="9" max="11" width="19.7109375" style="101" bestFit="1" customWidth="1"/>
    <col min="12" max="12" width="20.42578125" style="101" bestFit="1" customWidth="1"/>
    <col min="13" max="22" width="19.7109375" style="101" bestFit="1" customWidth="1"/>
    <col min="23" max="23" width="20.42578125" style="101" bestFit="1" customWidth="1"/>
    <col min="24" max="24" width="25.42578125" style="101" customWidth="1"/>
    <col min="25" max="25" width="22.28515625"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Portafolio_Cadena_Maíz!C93</f>
        <v>7. Contribución al ordenamiento productivo y social de la propiedad.</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 si="0">SUM(E8:E9)</f>
        <v>714210270.5</v>
      </c>
      <c r="F7" s="65">
        <f>SUM(F8:F9)</f>
        <v>2856841082</v>
      </c>
      <c r="G7" s="65">
        <f t="shared" ref="G7:X7" si="1">SUM(G8:G9)</f>
        <v>2856841082</v>
      </c>
      <c r="H7" s="65">
        <f t="shared" si="1"/>
        <v>2856841082</v>
      </c>
      <c r="I7" s="65">
        <f t="shared" si="1"/>
        <v>2856841082</v>
      </c>
      <c r="J7" s="65">
        <f t="shared" si="1"/>
        <v>2673166650</v>
      </c>
      <c r="K7" s="65">
        <f t="shared" si="1"/>
        <v>2673166650</v>
      </c>
      <c r="L7" s="65">
        <f t="shared" si="1"/>
        <v>2673166650</v>
      </c>
      <c r="M7" s="65">
        <f t="shared" si="1"/>
        <v>2673166650</v>
      </c>
      <c r="N7" s="65">
        <f t="shared" si="1"/>
        <v>2673166650</v>
      </c>
      <c r="O7" s="65">
        <f t="shared" si="1"/>
        <v>2673166650</v>
      </c>
      <c r="P7" s="65">
        <f t="shared" si="1"/>
        <v>2673166650</v>
      </c>
      <c r="Q7" s="65">
        <f t="shared" si="1"/>
        <v>2673166650</v>
      </c>
      <c r="R7" s="65">
        <f t="shared" si="1"/>
        <v>2673166650</v>
      </c>
      <c r="S7" s="65">
        <f t="shared" si="1"/>
        <v>2673166650</v>
      </c>
      <c r="T7" s="65">
        <f t="shared" si="1"/>
        <v>2673166650</v>
      </c>
      <c r="U7" s="65">
        <f t="shared" si="1"/>
        <v>2673166650</v>
      </c>
      <c r="V7" s="65">
        <f t="shared" si="1"/>
        <v>2673166650</v>
      </c>
      <c r="W7" s="65">
        <f t="shared" si="1"/>
        <v>2673166650</v>
      </c>
      <c r="X7" s="65">
        <f t="shared" si="1"/>
        <v>2673166650</v>
      </c>
      <c r="Y7" s="65">
        <f>SUM(E7:X7)</f>
        <v>52239074348.5</v>
      </c>
    </row>
    <row r="8" spans="1:26" s="70" customFormat="1" ht="60" customHeight="1" x14ac:dyDescent="0.2">
      <c r="A8" s="67"/>
      <c r="B8" s="68" t="str">
        <f>Portafolio_Cadena_Maíz!D93</f>
        <v>7.1. Articulación con las políticas de ordenamiento productivo y social de la propiedad rural para el cultivo de maíz.</v>
      </c>
      <c r="C8" s="113" t="s">
        <v>215</v>
      </c>
      <c r="D8" s="133" t="s">
        <v>185</v>
      </c>
      <c r="E8" s="69">
        <f>I40*3</f>
        <v>184975747.5</v>
      </c>
      <c r="F8" s="69">
        <f>H40</f>
        <v>739902990</v>
      </c>
      <c r="G8" s="69">
        <f>H40</f>
        <v>739902990</v>
      </c>
      <c r="H8" s="69">
        <f>H40</f>
        <v>739902990</v>
      </c>
      <c r="I8" s="69">
        <f>H40</f>
        <v>739902990</v>
      </c>
      <c r="J8" s="69">
        <f>H40</f>
        <v>739902990</v>
      </c>
      <c r="K8" s="69">
        <f>H40</f>
        <v>739902990</v>
      </c>
      <c r="L8" s="69">
        <f t="shared" ref="L8:X8" si="2">K8</f>
        <v>739902990</v>
      </c>
      <c r="M8" s="69">
        <f t="shared" si="2"/>
        <v>739902990</v>
      </c>
      <c r="N8" s="69">
        <f t="shared" si="2"/>
        <v>739902990</v>
      </c>
      <c r="O8" s="69">
        <f t="shared" si="2"/>
        <v>739902990</v>
      </c>
      <c r="P8" s="69">
        <f t="shared" si="2"/>
        <v>739902990</v>
      </c>
      <c r="Q8" s="69">
        <f t="shared" si="2"/>
        <v>739902990</v>
      </c>
      <c r="R8" s="69">
        <f t="shared" si="2"/>
        <v>739902990</v>
      </c>
      <c r="S8" s="69">
        <f t="shared" si="2"/>
        <v>739902990</v>
      </c>
      <c r="T8" s="69">
        <f t="shared" si="2"/>
        <v>739902990</v>
      </c>
      <c r="U8" s="69">
        <f t="shared" si="2"/>
        <v>739902990</v>
      </c>
      <c r="V8" s="69">
        <f t="shared" si="2"/>
        <v>739902990</v>
      </c>
      <c r="W8" s="69">
        <f t="shared" si="2"/>
        <v>739902990</v>
      </c>
      <c r="X8" s="69">
        <f t="shared" si="2"/>
        <v>739902990</v>
      </c>
      <c r="Y8" s="69">
        <f>SUM(E8:X8)</f>
        <v>14243132557.5</v>
      </c>
    </row>
    <row r="9" spans="1:26" s="70" customFormat="1" ht="42.95" customHeight="1" x14ac:dyDescent="0.2">
      <c r="A9" s="67"/>
      <c r="B9" s="68" t="str">
        <f>Portafolio_Cadena_Maíz!D99</f>
        <v xml:space="preserve">7.2  Fortalecimiento en el acceso y la seguridad jurídica de los predios e inversiones para el cultivo de maíz. </v>
      </c>
      <c r="C9" s="113" t="s">
        <v>215</v>
      </c>
      <c r="D9" s="113" t="s">
        <v>185</v>
      </c>
      <c r="E9" s="69">
        <f>I72*3</f>
        <v>529234523</v>
      </c>
      <c r="F9" s="69">
        <f>H72</f>
        <v>2116938092</v>
      </c>
      <c r="G9" s="69">
        <f>F9</f>
        <v>2116938092</v>
      </c>
      <c r="H9" s="69">
        <f>G9</f>
        <v>2116938092</v>
      </c>
      <c r="I9" s="69">
        <f>H9</f>
        <v>2116938092</v>
      </c>
      <c r="J9" s="69">
        <f>H74</f>
        <v>1933263660</v>
      </c>
      <c r="K9" s="69">
        <f>J9</f>
        <v>1933263660</v>
      </c>
      <c r="L9" s="69">
        <f t="shared" ref="L9:X9" si="3">K9</f>
        <v>1933263660</v>
      </c>
      <c r="M9" s="69">
        <f t="shared" si="3"/>
        <v>1933263660</v>
      </c>
      <c r="N9" s="69">
        <f t="shared" si="3"/>
        <v>1933263660</v>
      </c>
      <c r="O9" s="69">
        <f t="shared" si="3"/>
        <v>1933263660</v>
      </c>
      <c r="P9" s="69">
        <f t="shared" si="3"/>
        <v>1933263660</v>
      </c>
      <c r="Q9" s="69">
        <f t="shared" si="3"/>
        <v>1933263660</v>
      </c>
      <c r="R9" s="69">
        <f t="shared" si="3"/>
        <v>1933263660</v>
      </c>
      <c r="S9" s="69">
        <f t="shared" si="3"/>
        <v>1933263660</v>
      </c>
      <c r="T9" s="69">
        <f t="shared" si="3"/>
        <v>1933263660</v>
      </c>
      <c r="U9" s="69">
        <f t="shared" si="3"/>
        <v>1933263660</v>
      </c>
      <c r="V9" s="69">
        <f t="shared" si="3"/>
        <v>1933263660</v>
      </c>
      <c r="W9" s="69">
        <f t="shared" si="3"/>
        <v>1933263660</v>
      </c>
      <c r="X9" s="69">
        <f t="shared" si="3"/>
        <v>1933263660</v>
      </c>
      <c r="Y9" s="69">
        <f>SUM(E9:X9)</f>
        <v>37995941791</v>
      </c>
    </row>
    <row r="10" spans="1:26" s="40" customFormat="1" ht="24.6" customHeight="1" x14ac:dyDescent="0.25">
      <c r="A10" s="101"/>
      <c r="B10" s="63" t="s">
        <v>32</v>
      </c>
      <c r="C10" s="63"/>
      <c r="D10" s="63"/>
      <c r="E10" s="71">
        <f>E8+E9</f>
        <v>714210270.5</v>
      </c>
      <c r="F10" s="71">
        <f t="shared" ref="F10:X10" si="4">F8+F9</f>
        <v>2856841082</v>
      </c>
      <c r="G10" s="71">
        <f t="shared" si="4"/>
        <v>2856841082</v>
      </c>
      <c r="H10" s="71">
        <f t="shared" si="4"/>
        <v>2856841082</v>
      </c>
      <c r="I10" s="71">
        <f t="shared" si="4"/>
        <v>2856841082</v>
      </c>
      <c r="J10" s="71">
        <f t="shared" si="4"/>
        <v>2673166650</v>
      </c>
      <c r="K10" s="71">
        <f t="shared" si="4"/>
        <v>2673166650</v>
      </c>
      <c r="L10" s="71">
        <f t="shared" si="4"/>
        <v>2673166650</v>
      </c>
      <c r="M10" s="71">
        <f t="shared" si="4"/>
        <v>2673166650</v>
      </c>
      <c r="N10" s="71">
        <f t="shared" si="4"/>
        <v>2673166650</v>
      </c>
      <c r="O10" s="71">
        <f t="shared" si="4"/>
        <v>2673166650</v>
      </c>
      <c r="P10" s="71">
        <f t="shared" si="4"/>
        <v>2673166650</v>
      </c>
      <c r="Q10" s="71">
        <f t="shared" si="4"/>
        <v>2673166650</v>
      </c>
      <c r="R10" s="71">
        <f t="shared" si="4"/>
        <v>2673166650</v>
      </c>
      <c r="S10" s="71">
        <f t="shared" si="4"/>
        <v>2673166650</v>
      </c>
      <c r="T10" s="71">
        <f t="shared" si="4"/>
        <v>2673166650</v>
      </c>
      <c r="U10" s="71">
        <f t="shared" si="4"/>
        <v>2673166650</v>
      </c>
      <c r="V10" s="71">
        <f t="shared" si="4"/>
        <v>2673166650</v>
      </c>
      <c r="W10" s="71">
        <f t="shared" si="4"/>
        <v>2673166650</v>
      </c>
      <c r="X10" s="71">
        <f t="shared" si="4"/>
        <v>2673166650</v>
      </c>
      <c r="Y10" s="71">
        <f>Y8+Y9</f>
        <v>52239074348.5</v>
      </c>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53" t="str">
        <f>B8</f>
        <v>7.1. Articulación con las políticas de ordenamiento productivo y social de la propiedad rural para el cultivo de maíz.</v>
      </c>
      <c r="C13" s="852"/>
      <c r="D13" s="852"/>
      <c r="E13" s="852"/>
      <c r="F13" s="852"/>
      <c r="G13" s="852"/>
      <c r="H13" s="852"/>
      <c r="I13" s="112"/>
      <c r="J13" s="122"/>
      <c r="K13" s="122"/>
      <c r="X13" s="77"/>
    </row>
    <row r="14" spans="1:26" s="102" customFormat="1" ht="14.45" customHeight="1" x14ac:dyDescent="0.25">
      <c r="B14" s="852"/>
      <c r="C14" s="852"/>
      <c r="D14" s="852"/>
      <c r="E14" s="852"/>
      <c r="F14" s="852"/>
      <c r="G14" s="852"/>
      <c r="H14" s="852"/>
      <c r="I14" s="112"/>
      <c r="J14" s="122"/>
      <c r="X14" s="77"/>
    </row>
    <row r="15" spans="1:26" s="102" customFormat="1" ht="15" x14ac:dyDescent="0.25">
      <c r="B15" s="854" t="str">
        <f>Portafolio_Cadena_Maíz!H93</f>
        <v>7.1.1. Socializar y divulgar la normatividad relacionada con la frontera agrícola, a los productores y demás actores de la cadena de maíz.</v>
      </c>
      <c r="C15" s="855"/>
      <c r="D15" s="855"/>
      <c r="E15" s="855"/>
      <c r="F15" s="855"/>
      <c r="G15" s="855"/>
      <c r="H15" s="855"/>
      <c r="I15" s="414"/>
      <c r="X15" s="77"/>
    </row>
    <row r="16" spans="1:26" s="102" customFormat="1" ht="14.45" customHeight="1" x14ac:dyDescent="0.25">
      <c r="B16" s="854" t="str">
        <f>Portafolio_Cadena_Maíz!H94</f>
        <v>7.1.2. Promover mecanismos para que los actores de la cadena de maíz participen en las instancias que definen las políticas de ordenamiento y planificación municipal y departamental.</v>
      </c>
      <c r="C16" s="855"/>
      <c r="D16" s="855"/>
      <c r="E16" s="855"/>
      <c r="F16" s="855"/>
      <c r="G16" s="855"/>
      <c r="H16" s="855"/>
      <c r="I16" s="414"/>
      <c r="X16" s="77"/>
    </row>
    <row r="17" spans="2:24" s="102" customFormat="1" ht="35.450000000000003" customHeight="1" x14ac:dyDescent="0.25">
      <c r="B17" s="854" t="str">
        <f>Portafolio_Cadena_Maíz!H95</f>
        <v xml:space="preserve">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territorial. </v>
      </c>
      <c r="C17" s="855"/>
      <c r="D17" s="855"/>
      <c r="E17" s="855"/>
      <c r="F17" s="855"/>
      <c r="G17" s="855"/>
      <c r="H17" s="855"/>
      <c r="I17" s="414"/>
      <c r="X17" s="77"/>
    </row>
    <row r="18" spans="2:24" ht="30.6" customHeight="1" x14ac:dyDescent="0.25">
      <c r="B18" s="854" t="str">
        <f>Portafolio_Cadena_Maíz!H96</f>
        <v>7.1.4. Replicar experiencias en región, relacionadas con la planificación y ordenamiento en la siembra y producción de maíz, teniendo en cuenta la especialización regional y los requerimientos de mercado, y la caracterización y priorización regional.</v>
      </c>
      <c r="C18" s="855"/>
      <c r="D18" s="855"/>
      <c r="E18" s="855"/>
      <c r="F18" s="855"/>
      <c r="G18" s="855"/>
      <c r="H18" s="855"/>
    </row>
    <row r="19" spans="2:24" ht="30.6" customHeight="1" x14ac:dyDescent="0.25">
      <c r="B19" s="854" t="str">
        <f>Portafolio_Cadena_Maíz!H97</f>
        <v>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v>
      </c>
      <c r="C19" s="855"/>
      <c r="D19" s="855"/>
      <c r="E19" s="855"/>
      <c r="F19" s="855"/>
      <c r="G19" s="855"/>
      <c r="H19" s="855"/>
    </row>
    <row r="20" spans="2:24" ht="30.6" customHeight="1" x14ac:dyDescent="0.25">
      <c r="B20" s="854" t="str">
        <f>Portafolio_Cadena_Maíz!H98</f>
        <v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v>
      </c>
      <c r="C20" s="855"/>
      <c r="D20" s="855"/>
      <c r="E20" s="855"/>
      <c r="F20" s="855"/>
      <c r="G20" s="855"/>
      <c r="H20" s="855"/>
    </row>
    <row r="21" spans="2:24" ht="30.6" customHeight="1" x14ac:dyDescent="0.25">
      <c r="B21" s="854"/>
      <c r="C21" s="855"/>
      <c r="D21" s="855"/>
      <c r="E21" s="855"/>
      <c r="F21" s="855"/>
      <c r="G21" s="855"/>
      <c r="H21" s="855"/>
    </row>
    <row r="22" spans="2:24" s="102" customFormat="1" ht="15" x14ac:dyDescent="0.25">
      <c r="B22" s="858" t="s">
        <v>595</v>
      </c>
      <c r="C22" s="859"/>
      <c r="D22" s="859"/>
      <c r="E22" s="859"/>
      <c r="F22" s="859"/>
      <c r="G22" s="859"/>
      <c r="H22" s="859"/>
      <c r="I22" s="414"/>
      <c r="X22" s="77"/>
    </row>
    <row r="23" spans="2:24" ht="15" x14ac:dyDescent="0.25">
      <c r="B23" s="400" t="s">
        <v>68</v>
      </c>
      <c r="C23" s="400" t="s">
        <v>58</v>
      </c>
      <c r="D23" s="400" t="s">
        <v>55</v>
      </c>
      <c r="E23" s="400" t="s">
        <v>54</v>
      </c>
      <c r="F23" s="401" t="s">
        <v>96</v>
      </c>
      <c r="G23" s="400" t="s">
        <v>70</v>
      </c>
      <c r="H23" s="400" t="s">
        <v>71</v>
      </c>
      <c r="I23" s="42"/>
      <c r="X23" s="80"/>
    </row>
    <row r="24" spans="2:24" x14ac:dyDescent="0.2">
      <c r="B24" s="104" t="s">
        <v>72</v>
      </c>
      <c r="C24" s="104">
        <v>12</v>
      </c>
      <c r="D24" s="104" t="s">
        <v>73</v>
      </c>
      <c r="E24" s="81">
        <v>500000</v>
      </c>
      <c r="F24" s="104"/>
      <c r="G24" s="104"/>
      <c r="H24" s="81">
        <f t="shared" ref="H24:H29" si="5">C24*E24</f>
        <v>6000000</v>
      </c>
      <c r="J24" s="52"/>
    </row>
    <row r="25" spans="2:24" x14ac:dyDescent="0.2">
      <c r="B25" s="104" t="s">
        <v>74</v>
      </c>
      <c r="C25" s="104">
        <v>12</v>
      </c>
      <c r="D25" s="104" t="s">
        <v>73</v>
      </c>
      <c r="E25" s="81">
        <v>100000</v>
      </c>
      <c r="F25" s="104"/>
      <c r="G25" s="104"/>
      <c r="H25" s="81">
        <f t="shared" si="5"/>
        <v>1200000</v>
      </c>
      <c r="J25" s="137"/>
    </row>
    <row r="26" spans="2:24" x14ac:dyDescent="0.2">
      <c r="B26" s="104" t="s">
        <v>90</v>
      </c>
      <c r="C26" s="104">
        <v>19</v>
      </c>
      <c r="D26" s="104" t="s">
        <v>73</v>
      </c>
      <c r="E26" s="81">
        <v>2300000</v>
      </c>
      <c r="F26" s="104"/>
      <c r="G26" s="104"/>
      <c r="H26" s="81">
        <f t="shared" si="5"/>
        <v>43700000</v>
      </c>
      <c r="I26" s="100"/>
      <c r="J26" s="137"/>
    </row>
    <row r="27" spans="2:24" x14ac:dyDescent="0.2">
      <c r="B27" s="104" t="s">
        <v>91</v>
      </c>
      <c r="C27" s="104">
        <v>19</v>
      </c>
      <c r="D27" s="104" t="s">
        <v>73</v>
      </c>
      <c r="E27" s="81">
        <v>460000</v>
      </c>
      <c r="F27" s="104"/>
      <c r="G27" s="104"/>
      <c r="H27" s="81">
        <f t="shared" si="5"/>
        <v>8740000</v>
      </c>
      <c r="I27" s="100"/>
      <c r="J27" s="137"/>
    </row>
    <row r="28" spans="2:24" x14ac:dyDescent="0.2">
      <c r="B28" s="104" t="s">
        <v>192</v>
      </c>
      <c r="C28" s="104">
        <v>19</v>
      </c>
      <c r="D28" s="104" t="s">
        <v>73</v>
      </c>
      <c r="E28" s="81">
        <v>3000000</v>
      </c>
      <c r="F28" s="104"/>
      <c r="G28" s="104"/>
      <c r="H28" s="81">
        <f t="shared" si="5"/>
        <v>57000000</v>
      </c>
      <c r="I28" s="100"/>
      <c r="J28" s="137"/>
    </row>
    <row r="29" spans="2:24" x14ac:dyDescent="0.2">
      <c r="B29" s="104" t="s">
        <v>59</v>
      </c>
      <c r="C29" s="104">
        <v>7</v>
      </c>
      <c r="D29" s="104" t="s">
        <v>73</v>
      </c>
      <c r="E29" s="81">
        <v>5000000</v>
      </c>
      <c r="F29" s="104"/>
      <c r="G29" s="104"/>
      <c r="H29" s="81">
        <f t="shared" si="5"/>
        <v>35000000</v>
      </c>
      <c r="I29" s="100"/>
      <c r="J29" s="52"/>
    </row>
    <row r="30" spans="2:24" x14ac:dyDescent="0.2">
      <c r="B30" s="104" t="s">
        <v>194</v>
      </c>
      <c r="C30" s="104">
        <v>2</v>
      </c>
      <c r="D30" s="104" t="s">
        <v>102</v>
      </c>
      <c r="E30" s="81">
        <v>7233751</v>
      </c>
      <c r="F30" s="104"/>
      <c r="G30" s="104">
        <v>4</v>
      </c>
      <c r="H30" s="81">
        <f>C30*E30*G30</f>
        <v>57870008</v>
      </c>
      <c r="J30" s="52"/>
    </row>
    <row r="31" spans="2:24" x14ac:dyDescent="0.2">
      <c r="B31" s="104" t="s">
        <v>76</v>
      </c>
      <c r="C31" s="104">
        <v>19</v>
      </c>
      <c r="D31" s="104" t="s">
        <v>65</v>
      </c>
      <c r="E31" s="94">
        <v>6000000</v>
      </c>
      <c r="F31" s="104"/>
      <c r="G31" s="104"/>
      <c r="H31" s="81">
        <f>C31*E31</f>
        <v>114000000</v>
      </c>
      <c r="J31" s="52"/>
    </row>
    <row r="32" spans="2:24" x14ac:dyDescent="0.2">
      <c r="B32" s="104" t="s">
        <v>77</v>
      </c>
      <c r="C32" s="104">
        <v>19</v>
      </c>
      <c r="D32" s="104" t="s">
        <v>65</v>
      </c>
      <c r="E32" s="94">
        <v>1800000</v>
      </c>
      <c r="F32" s="104"/>
      <c r="G32" s="104"/>
      <c r="H32" s="81">
        <f>C32*E32</f>
        <v>34200000</v>
      </c>
      <c r="J32" s="52"/>
    </row>
    <row r="33" spans="1:24" x14ac:dyDescent="0.2">
      <c r="B33" s="104" t="s">
        <v>79</v>
      </c>
      <c r="C33" s="104">
        <v>2</v>
      </c>
      <c r="D33" s="104" t="s">
        <v>145</v>
      </c>
      <c r="E33" s="81">
        <v>7862772</v>
      </c>
      <c r="F33" s="200">
        <v>0.5</v>
      </c>
      <c r="G33" s="104">
        <v>10</v>
      </c>
      <c r="H33" s="81">
        <f>C33*E33*G33*F33</f>
        <v>78627720</v>
      </c>
      <c r="I33" s="44"/>
      <c r="J33" s="52"/>
    </row>
    <row r="34" spans="1:24" x14ac:dyDescent="0.2">
      <c r="B34" s="104" t="s">
        <v>80</v>
      </c>
      <c r="C34" s="104">
        <v>7</v>
      </c>
      <c r="D34" s="104" t="s">
        <v>157</v>
      </c>
      <c r="E34" s="81">
        <v>1313122</v>
      </c>
      <c r="F34" s="104"/>
      <c r="G34" s="104">
        <v>5</v>
      </c>
      <c r="H34" s="81">
        <f>C34*E34*G34</f>
        <v>45959270</v>
      </c>
      <c r="I34" s="44"/>
      <c r="J34" s="52"/>
    </row>
    <row r="35" spans="1:24" x14ac:dyDescent="0.2">
      <c r="B35" s="104" t="s">
        <v>158</v>
      </c>
      <c r="C35" s="104">
        <v>7</v>
      </c>
      <c r="D35" s="104" t="s">
        <v>102</v>
      </c>
      <c r="E35" s="81">
        <v>3145107</v>
      </c>
      <c r="F35" s="200">
        <v>0.5</v>
      </c>
      <c r="G35" s="104">
        <v>8</v>
      </c>
      <c r="H35" s="81">
        <f>C35*E35*G35</f>
        <v>176125992</v>
      </c>
      <c r="I35" s="44"/>
      <c r="J35" s="52"/>
    </row>
    <row r="36" spans="1:24" x14ac:dyDescent="0.2">
      <c r="B36" s="104" t="s">
        <v>56</v>
      </c>
      <c r="C36" s="104">
        <v>7</v>
      </c>
      <c r="D36" s="104" t="s">
        <v>73</v>
      </c>
      <c r="E36" s="81">
        <v>1300000</v>
      </c>
      <c r="F36" s="200">
        <v>0.5</v>
      </c>
      <c r="G36" s="104">
        <v>8</v>
      </c>
      <c r="H36" s="81">
        <f>C36*E36*G36</f>
        <v>72800000</v>
      </c>
      <c r="I36" s="44"/>
      <c r="J36" s="52"/>
    </row>
    <row r="37" spans="1:24" x14ac:dyDescent="0.2">
      <c r="B37" s="104" t="s">
        <v>178</v>
      </c>
      <c r="C37" s="104">
        <v>7</v>
      </c>
      <c r="D37" s="104" t="s">
        <v>73</v>
      </c>
      <c r="E37" s="81">
        <v>155000</v>
      </c>
      <c r="F37" s="200"/>
      <c r="G37" s="104">
        <v>8</v>
      </c>
      <c r="H37" s="81">
        <f>C37*E37*G37</f>
        <v>8680000</v>
      </c>
      <c r="I37" s="44"/>
      <c r="J37" s="52"/>
    </row>
    <row r="38" spans="1:24" x14ac:dyDescent="0.2">
      <c r="B38" s="104" t="s">
        <v>203</v>
      </c>
      <c r="C38" s="104"/>
      <c r="D38" s="104"/>
      <c r="E38" s="81"/>
      <c r="F38" s="200"/>
      <c r="G38" s="104"/>
      <c r="H38" s="81" t="s">
        <v>67</v>
      </c>
      <c r="I38" s="44"/>
      <c r="J38" s="137"/>
    </row>
    <row r="39" spans="1:24" ht="15" x14ac:dyDescent="0.25">
      <c r="B39" s="104" t="s">
        <v>193</v>
      </c>
      <c r="C39" s="104"/>
      <c r="D39" s="104"/>
      <c r="E39" s="104"/>
      <c r="F39" s="104"/>
      <c r="G39" s="104"/>
      <c r="H39" s="81" t="s">
        <v>67</v>
      </c>
      <c r="I39" s="88" t="s">
        <v>159</v>
      </c>
      <c r="J39" s="137"/>
    </row>
    <row r="40" spans="1:24" ht="15" x14ac:dyDescent="0.25">
      <c r="B40" s="85" t="s">
        <v>32</v>
      </c>
      <c r="C40" s="86"/>
      <c r="D40" s="86"/>
      <c r="E40" s="86"/>
      <c r="F40" s="87"/>
      <c r="G40" s="87"/>
      <c r="H40" s="88">
        <f>SUM(H24:H39)</f>
        <v>739902990</v>
      </c>
      <c r="I40" s="88">
        <f>H40/12</f>
        <v>61658582.5</v>
      </c>
      <c r="J40" s="137"/>
    </row>
    <row r="41" spans="1:24" s="102" customFormat="1" ht="140.1" customHeight="1" x14ac:dyDescent="0.2">
      <c r="B41" s="131" t="s">
        <v>349</v>
      </c>
      <c r="C41" s="89"/>
      <c r="D41" s="89"/>
      <c r="E41" s="89"/>
      <c r="F41" s="89"/>
      <c r="G41" s="89"/>
      <c r="H41" s="89"/>
    </row>
    <row r="42" spans="1:24" ht="15" x14ac:dyDescent="0.25">
      <c r="B42" s="111"/>
      <c r="C42" s="111"/>
      <c r="D42" s="111"/>
      <c r="E42" s="111"/>
      <c r="F42" s="111"/>
      <c r="G42" s="111"/>
      <c r="H42" s="111"/>
      <c r="I42" s="90"/>
    </row>
    <row r="43" spans="1:24" ht="15" x14ac:dyDescent="0.25">
      <c r="B43" s="111"/>
      <c r="C43" s="111"/>
      <c r="D43" s="111"/>
      <c r="E43" s="111"/>
      <c r="F43" s="111"/>
      <c r="G43" s="111"/>
      <c r="H43" s="111"/>
      <c r="I43" s="90"/>
    </row>
    <row r="44" spans="1:24" s="102" customFormat="1" ht="14.45" customHeight="1" x14ac:dyDescent="0.25">
      <c r="A44" s="91"/>
      <c r="B44" s="850" t="str">
        <f>B9</f>
        <v xml:space="preserve">7.2  Fortalecimiento en el acceso y la seguridad jurídica de los predios e inversiones para el cultivo de maíz. </v>
      </c>
      <c r="C44" s="851"/>
      <c r="D44" s="851"/>
      <c r="E44" s="851"/>
      <c r="F44" s="851"/>
      <c r="G44" s="851"/>
      <c r="H44" s="851"/>
    </row>
    <row r="45" spans="1:24" s="102" customFormat="1" ht="15" x14ac:dyDescent="0.25">
      <c r="B45" s="854" t="str">
        <f>Portafolio_Cadena_Maíz!H99</f>
        <v xml:space="preserve">7.2.1. Realizar acompañamiento a los productores de maíz en los procesos de regularización de la propiedad, para favorecer su acceso a los programas y beneficios que contribuyan a mejorar el desarrollo de la actividad productiva.  </v>
      </c>
      <c r="C45" s="855"/>
      <c r="D45" s="855"/>
      <c r="E45" s="855"/>
      <c r="F45" s="855"/>
      <c r="G45" s="855"/>
      <c r="H45" s="855"/>
      <c r="I45" s="414"/>
      <c r="X45" s="77"/>
    </row>
    <row r="46" spans="1:24" s="102" customFormat="1" ht="30" customHeight="1" x14ac:dyDescent="0.25">
      <c r="B46" s="854" t="str">
        <f>Portafolio_Cadena_Maíz!H100</f>
        <v>7.2.2. Generar y promover esquemas de acceso a la tierra con seguridad jurídica, que garanticen condiciones de estabilidad a la producción de maíz.</v>
      </c>
      <c r="C46" s="855"/>
      <c r="D46" s="855"/>
      <c r="E46" s="855"/>
      <c r="F46" s="855"/>
      <c r="G46" s="855"/>
      <c r="H46" s="855"/>
      <c r="I46" s="414"/>
      <c r="X46" s="77"/>
    </row>
    <row r="47" spans="1:24" s="102" customFormat="1" ht="30.95" customHeight="1" x14ac:dyDescent="0.25">
      <c r="B47" s="854" t="str">
        <f>Portafolio_Cadena_Maíz!H101</f>
        <v>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v>
      </c>
      <c r="C47" s="855"/>
      <c r="D47" s="855"/>
      <c r="E47" s="855"/>
      <c r="F47" s="855"/>
      <c r="G47" s="855"/>
      <c r="H47" s="855"/>
      <c r="I47" s="414"/>
      <c r="X47" s="77"/>
    </row>
    <row r="48" spans="1:24" ht="15" x14ac:dyDescent="0.25">
      <c r="B48" s="854" t="str">
        <f>Portafolio_Cadena_Maíz!H102</f>
        <v xml:space="preserve">7.2.4. Promover la implementación de normatividad que brinde las garantías para la consolidación de inversiones privadas en el cultivo de maíz, en las regiones maiceras priorizadas. </v>
      </c>
      <c r="C48" s="855"/>
      <c r="D48" s="855"/>
      <c r="E48" s="855"/>
      <c r="F48" s="855"/>
      <c r="G48" s="855"/>
      <c r="H48" s="855"/>
    </row>
    <row r="49" spans="1:24" ht="15" x14ac:dyDescent="0.25">
      <c r="B49" s="854"/>
      <c r="C49" s="855"/>
      <c r="D49" s="855"/>
      <c r="E49" s="855"/>
      <c r="F49" s="855"/>
      <c r="G49" s="855"/>
      <c r="H49" s="855"/>
    </row>
    <row r="50" spans="1:24" s="102" customFormat="1" ht="15" x14ac:dyDescent="0.25">
      <c r="B50" s="858" t="s">
        <v>595</v>
      </c>
      <c r="C50" s="859"/>
      <c r="D50" s="859"/>
      <c r="E50" s="859"/>
      <c r="F50" s="859"/>
      <c r="G50" s="859"/>
      <c r="H50" s="859"/>
      <c r="I50" s="414"/>
      <c r="X50" s="77"/>
    </row>
    <row r="51" spans="1:24" ht="15" x14ac:dyDescent="0.25">
      <c r="B51" s="78" t="s">
        <v>68</v>
      </c>
      <c r="C51" s="78" t="s">
        <v>58</v>
      </c>
      <c r="D51" s="78" t="s">
        <v>55</v>
      </c>
      <c r="E51" s="78" t="s">
        <v>54</v>
      </c>
      <c r="F51" s="78" t="s">
        <v>69</v>
      </c>
      <c r="G51" s="78" t="s">
        <v>70</v>
      </c>
      <c r="H51" s="78" t="s">
        <v>71</v>
      </c>
    </row>
    <row r="52" spans="1:24" s="102" customFormat="1" x14ac:dyDescent="0.2">
      <c r="A52" s="92"/>
      <c r="B52" s="103" t="s">
        <v>72</v>
      </c>
      <c r="C52" s="103">
        <v>12</v>
      </c>
      <c r="D52" s="103" t="s">
        <v>73</v>
      </c>
      <c r="E52" s="45">
        <v>500000</v>
      </c>
      <c r="F52" s="103"/>
      <c r="G52" s="103"/>
      <c r="H52" s="81">
        <v>12000000</v>
      </c>
      <c r="I52" s="44"/>
      <c r="J52" s="137"/>
    </row>
    <row r="53" spans="1:24" s="102" customFormat="1" x14ac:dyDescent="0.2">
      <c r="B53" s="103" t="s">
        <v>74</v>
      </c>
      <c r="C53" s="103">
        <v>12</v>
      </c>
      <c r="D53" s="103" t="s">
        <v>73</v>
      </c>
      <c r="E53" s="45">
        <v>100000</v>
      </c>
      <c r="F53" s="103"/>
      <c r="G53" s="103"/>
      <c r="H53" s="81">
        <v>1200000</v>
      </c>
      <c r="I53" s="44"/>
      <c r="J53" s="137"/>
    </row>
    <row r="54" spans="1:24" s="102" customFormat="1" x14ac:dyDescent="0.2">
      <c r="B54" s="103" t="s">
        <v>90</v>
      </c>
      <c r="C54" s="103">
        <v>19</v>
      </c>
      <c r="D54" s="103" t="s">
        <v>73</v>
      </c>
      <c r="E54" s="45">
        <v>2300000</v>
      </c>
      <c r="F54" s="103"/>
      <c r="G54" s="103"/>
      <c r="H54" s="81">
        <v>20000000</v>
      </c>
      <c r="I54" s="44"/>
      <c r="J54" s="137"/>
    </row>
    <row r="55" spans="1:24" x14ac:dyDescent="0.2">
      <c r="B55" s="103" t="s">
        <v>91</v>
      </c>
      <c r="C55" s="103">
        <v>19</v>
      </c>
      <c r="D55" s="103" t="s">
        <v>73</v>
      </c>
      <c r="E55" s="45">
        <v>460000</v>
      </c>
      <c r="F55" s="103"/>
      <c r="G55" s="103"/>
      <c r="H55" s="81">
        <v>142500000</v>
      </c>
      <c r="I55" s="100"/>
      <c r="J55" s="137"/>
    </row>
    <row r="56" spans="1:24" x14ac:dyDescent="0.2">
      <c r="B56" s="103" t="s">
        <v>59</v>
      </c>
      <c r="C56" s="103">
        <v>7</v>
      </c>
      <c r="D56" s="103" t="s">
        <v>73</v>
      </c>
      <c r="E56" s="45">
        <v>5000000</v>
      </c>
      <c r="F56" s="103"/>
      <c r="G56" s="103"/>
      <c r="H56" s="81">
        <f>C56*E56</f>
        <v>35000000</v>
      </c>
      <c r="I56" s="100"/>
      <c r="J56" s="137"/>
    </row>
    <row r="57" spans="1:24" x14ac:dyDescent="0.2">
      <c r="B57" s="103" t="s">
        <v>196</v>
      </c>
      <c r="C57" s="103">
        <v>1</v>
      </c>
      <c r="D57" s="103" t="s">
        <v>73</v>
      </c>
      <c r="E57" s="45">
        <v>142800000</v>
      </c>
      <c r="F57" s="103"/>
      <c r="G57" s="103"/>
      <c r="H57" s="81">
        <f>C57*E57</f>
        <v>142800000</v>
      </c>
      <c r="I57" s="100"/>
      <c r="J57" s="137"/>
    </row>
    <row r="58" spans="1:24" s="102" customFormat="1" x14ac:dyDescent="0.2">
      <c r="A58" s="92"/>
      <c r="B58" s="103" t="s">
        <v>173</v>
      </c>
      <c r="C58" s="104">
        <v>7</v>
      </c>
      <c r="D58" s="103" t="s">
        <v>73</v>
      </c>
      <c r="E58" s="45">
        <v>3000000</v>
      </c>
      <c r="F58" s="103"/>
      <c r="G58" s="103"/>
      <c r="H58" s="81">
        <v>50000000</v>
      </c>
      <c r="I58" s="83"/>
      <c r="J58" s="137"/>
    </row>
    <row r="59" spans="1:24" s="102" customFormat="1" x14ac:dyDescent="0.2">
      <c r="A59" s="92"/>
      <c r="B59" s="103" t="s">
        <v>198</v>
      </c>
      <c r="C59" s="104">
        <v>1</v>
      </c>
      <c r="D59" s="103" t="s">
        <v>73</v>
      </c>
      <c r="E59" s="45">
        <v>5661197</v>
      </c>
      <c r="F59" s="103"/>
      <c r="G59" s="103">
        <v>4</v>
      </c>
      <c r="H59" s="81">
        <f>C59*E59*G59</f>
        <v>22644788</v>
      </c>
      <c r="I59" s="83"/>
      <c r="J59" s="137"/>
    </row>
    <row r="60" spans="1:24" s="102" customFormat="1" x14ac:dyDescent="0.2">
      <c r="A60" s="92"/>
      <c r="B60" s="103" t="s">
        <v>156</v>
      </c>
      <c r="C60" s="103">
        <f>7*10</f>
        <v>70</v>
      </c>
      <c r="D60" s="103" t="s">
        <v>65</v>
      </c>
      <c r="E60" s="45">
        <v>6000000</v>
      </c>
      <c r="F60" s="103"/>
      <c r="G60" s="103"/>
      <c r="H60" s="81">
        <f t="shared" ref="H60:H61" si="6">C60*E60</f>
        <v>420000000</v>
      </c>
      <c r="I60" s="83"/>
      <c r="J60" s="137"/>
    </row>
    <row r="61" spans="1:24" s="102" customFormat="1" x14ac:dyDescent="0.2">
      <c r="A61" s="92"/>
      <c r="B61" s="103" t="s">
        <v>77</v>
      </c>
      <c r="C61" s="103">
        <f>7*10</f>
        <v>70</v>
      </c>
      <c r="D61" s="103" t="s">
        <v>65</v>
      </c>
      <c r="E61" s="45">
        <v>1800000</v>
      </c>
      <c r="F61" s="103"/>
      <c r="G61" s="103"/>
      <c r="H61" s="81">
        <f t="shared" si="6"/>
        <v>126000000</v>
      </c>
      <c r="I61" s="83"/>
      <c r="J61" s="137"/>
    </row>
    <row r="62" spans="1:24" s="102" customFormat="1" x14ac:dyDescent="0.2">
      <c r="A62" s="92"/>
      <c r="B62" s="103" t="s">
        <v>197</v>
      </c>
      <c r="C62" s="104">
        <v>2</v>
      </c>
      <c r="D62" s="103" t="s">
        <v>73</v>
      </c>
      <c r="E62" s="45">
        <v>7862772</v>
      </c>
      <c r="F62" s="97">
        <v>0.5</v>
      </c>
      <c r="G62" s="103">
        <v>10</v>
      </c>
      <c r="H62" s="81">
        <v>182149176</v>
      </c>
      <c r="I62" s="84"/>
      <c r="J62" s="137"/>
    </row>
    <row r="63" spans="1:24" s="102" customFormat="1" x14ac:dyDescent="0.2">
      <c r="B63" s="103" t="s">
        <v>80</v>
      </c>
      <c r="C63" s="104">
        <v>7</v>
      </c>
      <c r="D63" s="102" t="s">
        <v>73</v>
      </c>
      <c r="E63" s="45">
        <v>1769683</v>
      </c>
      <c r="F63" s="103"/>
      <c r="G63" s="103"/>
      <c r="H63" s="81">
        <v>19851700</v>
      </c>
      <c r="I63" s="83"/>
      <c r="J63" s="137"/>
    </row>
    <row r="64" spans="1:24" s="102" customFormat="1" x14ac:dyDescent="0.2">
      <c r="B64" s="103" t="s">
        <v>158</v>
      </c>
      <c r="C64" s="104">
        <v>7</v>
      </c>
      <c r="D64" s="132" t="s">
        <v>102</v>
      </c>
      <c r="E64" s="45">
        <v>3145107</v>
      </c>
      <c r="F64" s="97">
        <v>0.5</v>
      </c>
      <c r="G64" s="103">
        <v>8</v>
      </c>
      <c r="H64" s="81">
        <f>C64*E64*F64*G64</f>
        <v>88062996</v>
      </c>
      <c r="I64" s="83"/>
      <c r="J64" s="137"/>
    </row>
    <row r="65" spans="2:10" s="102" customFormat="1" x14ac:dyDescent="0.2">
      <c r="B65" s="103" t="s">
        <v>56</v>
      </c>
      <c r="C65" s="104">
        <v>7</v>
      </c>
      <c r="D65" s="132" t="s">
        <v>73</v>
      </c>
      <c r="E65" s="45">
        <v>1300000</v>
      </c>
      <c r="F65" s="97">
        <v>0.5</v>
      </c>
      <c r="G65" s="103">
        <v>8</v>
      </c>
      <c r="H65" s="81">
        <f>C65*E65*G65*F65</f>
        <v>36400000</v>
      </c>
      <c r="I65" s="83"/>
      <c r="J65" s="137"/>
    </row>
    <row r="66" spans="2:10" s="102" customFormat="1" x14ac:dyDescent="0.2">
      <c r="B66" s="103" t="s">
        <v>178</v>
      </c>
      <c r="C66" s="104">
        <v>7</v>
      </c>
      <c r="D66" s="132" t="s">
        <v>73</v>
      </c>
      <c r="E66" s="45">
        <v>155000</v>
      </c>
      <c r="F66" s="103"/>
      <c r="G66" s="103">
        <v>8</v>
      </c>
      <c r="H66" s="81">
        <f>C66*E66*G66</f>
        <v>8680000</v>
      </c>
      <c r="I66" s="83"/>
      <c r="J66" s="137"/>
    </row>
    <row r="67" spans="2:10" x14ac:dyDescent="0.2">
      <c r="B67" s="104" t="s">
        <v>302</v>
      </c>
      <c r="C67" s="104">
        <f>19*20</f>
        <v>380</v>
      </c>
      <c r="D67" s="104" t="s">
        <v>73</v>
      </c>
      <c r="E67" s="94">
        <v>3000000</v>
      </c>
      <c r="F67" s="104"/>
      <c r="G67" s="104"/>
      <c r="H67" s="81">
        <v>625975000</v>
      </c>
      <c r="I67" s="44"/>
      <c r="J67" s="52"/>
    </row>
    <row r="68" spans="2:10" x14ac:dyDescent="0.2">
      <c r="B68" s="104" t="s">
        <v>333</v>
      </c>
      <c r="C68" s="104">
        <v>2</v>
      </c>
      <c r="D68" s="104" t="s">
        <v>73</v>
      </c>
      <c r="E68" s="94">
        <v>11479652</v>
      </c>
      <c r="F68" s="104"/>
      <c r="G68" s="104">
        <v>8</v>
      </c>
      <c r="H68" s="81">
        <f>C68*E68*G68</f>
        <v>183674432</v>
      </c>
      <c r="I68" s="44"/>
      <c r="J68" s="52"/>
    </row>
    <row r="69" spans="2:10" x14ac:dyDescent="0.2">
      <c r="B69" s="103" t="s">
        <v>195</v>
      </c>
      <c r="C69" s="104"/>
      <c r="D69" s="103"/>
      <c r="E69" s="108"/>
      <c r="F69" s="103"/>
      <c r="G69" s="103"/>
      <c r="H69" s="81" t="s">
        <v>67</v>
      </c>
      <c r="I69" s="44"/>
      <c r="J69" s="52"/>
    </row>
    <row r="70" spans="2:10" x14ac:dyDescent="0.2">
      <c r="B70" s="103" t="s">
        <v>397</v>
      </c>
      <c r="C70" s="103"/>
      <c r="D70" s="103"/>
      <c r="E70" s="108"/>
      <c r="F70" s="93"/>
      <c r="G70" s="103"/>
      <c r="H70" s="81" t="s">
        <v>67</v>
      </c>
      <c r="I70" s="44"/>
      <c r="J70" s="52"/>
    </row>
    <row r="71" spans="2:10" ht="15" x14ac:dyDescent="0.25">
      <c r="B71" s="103"/>
      <c r="C71" s="103"/>
      <c r="D71" s="103"/>
      <c r="E71" s="103"/>
      <c r="F71" s="103"/>
      <c r="G71" s="103"/>
      <c r="H71" s="104"/>
      <c r="I71" s="98" t="s">
        <v>159</v>
      </c>
      <c r="J71" s="52"/>
    </row>
    <row r="72" spans="2:10" ht="15" x14ac:dyDescent="0.25">
      <c r="B72" s="85" t="s">
        <v>334</v>
      </c>
      <c r="C72" s="86"/>
      <c r="D72" s="86"/>
      <c r="E72" s="87"/>
      <c r="F72" s="87"/>
      <c r="G72" s="86"/>
      <c r="H72" s="98">
        <f>SUM(H52:H71)</f>
        <v>2116938092</v>
      </c>
      <c r="I72" s="98">
        <f>H72/12</f>
        <v>176411507.66666666</v>
      </c>
      <c r="J72" s="52"/>
    </row>
    <row r="73" spans="2:10" s="102" customFormat="1" ht="260.45" hidden="1" customHeight="1" x14ac:dyDescent="0.25">
      <c r="B73" s="99" t="s">
        <v>86</v>
      </c>
      <c r="C73" s="111"/>
      <c r="D73" s="111"/>
      <c r="E73" s="111"/>
      <c r="F73" s="111"/>
      <c r="G73" s="111"/>
      <c r="H73" s="98">
        <f t="shared" ref="H73" si="7">SUM(H53:H72)</f>
        <v>4221876184</v>
      </c>
      <c r="J73" s="52"/>
    </row>
    <row r="74" spans="2:10" ht="15" x14ac:dyDescent="0.25">
      <c r="B74" s="85" t="s">
        <v>335</v>
      </c>
      <c r="C74" s="86"/>
      <c r="D74" s="86"/>
      <c r="E74" s="87"/>
      <c r="F74" s="87"/>
      <c r="G74" s="86"/>
      <c r="H74" s="98">
        <f>H72-H68</f>
        <v>1933263660</v>
      </c>
      <c r="I74" s="98"/>
      <c r="J74" s="52"/>
    </row>
    <row r="75" spans="2:10" ht="218.45" customHeight="1" x14ac:dyDescent="0.2">
      <c r="B75" s="130" t="s">
        <v>404</v>
      </c>
      <c r="C75" s="102"/>
      <c r="D75" s="102"/>
      <c r="E75" s="102"/>
      <c r="F75" s="77"/>
      <c r="G75" s="77"/>
    </row>
    <row r="76" spans="2:10" x14ac:dyDescent="0.2">
      <c r="B76" s="102"/>
      <c r="C76" s="102"/>
      <c r="D76" s="102"/>
      <c r="E76" s="102"/>
      <c r="F76" s="102"/>
      <c r="G76" s="102"/>
    </row>
  </sheetData>
  <sheetProtection algorithmName="SHA-512" hashValue="l5LFjLOHOj00VTimH5tLZUnq/BBUg2/gFv8fW4sKC4cO52RalbvKvNmaN/EEU1pmNALwWm3nrEbnkLAvDbb1RQ==" saltValue="3CUxiIXUbRhRrDrBebDGmQ==" spinCount="100000" sheet="1" objects="1" scenarios="1"/>
  <mergeCells count="16">
    <mergeCell ref="B13:H14"/>
    <mergeCell ref="B44:H44"/>
    <mergeCell ref="B15:H15"/>
    <mergeCell ref="B16:H16"/>
    <mergeCell ref="B17:H17"/>
    <mergeCell ref="B18:H18"/>
    <mergeCell ref="B22:H22"/>
    <mergeCell ref="B19:H19"/>
    <mergeCell ref="B20:H20"/>
    <mergeCell ref="B21:H21"/>
    <mergeCell ref="B49:H49"/>
    <mergeCell ref="B50:H50"/>
    <mergeCell ref="B45:H45"/>
    <mergeCell ref="B46:H46"/>
    <mergeCell ref="B47:H47"/>
    <mergeCell ref="B48:H4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6"/>
  <sheetViews>
    <sheetView showGridLines="0" zoomScale="60" zoomScaleNormal="60" workbookViewId="0">
      <selection activeCell="B45" sqref="B45"/>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4.28515625" style="101" customWidth="1"/>
    <col min="5" max="5" width="22.42578125" style="101" customWidth="1"/>
    <col min="6" max="6" width="19.85546875" style="101" bestFit="1" customWidth="1"/>
    <col min="7" max="7" width="18.28515625" style="101" bestFit="1" customWidth="1"/>
    <col min="8" max="8" width="23" style="101" bestFit="1" customWidth="1"/>
    <col min="9" max="9" width="18.7109375" style="101" customWidth="1"/>
    <col min="10" max="10" width="17.42578125" style="101" bestFit="1" customWidth="1"/>
    <col min="11" max="11" width="18.28515625" style="101" bestFit="1" customWidth="1"/>
    <col min="12" max="12" width="19.140625" style="101" bestFit="1" customWidth="1"/>
    <col min="13" max="13" width="17.42578125" style="101" bestFit="1" customWidth="1"/>
    <col min="14" max="14" width="18.5703125" style="101" bestFit="1" customWidth="1"/>
    <col min="15" max="15" width="17.42578125" style="101" bestFit="1" customWidth="1"/>
    <col min="16" max="16" width="17.5703125" style="101" customWidth="1"/>
    <col min="17" max="17" width="18.5703125" style="101" bestFit="1" customWidth="1"/>
    <col min="18" max="18" width="17.42578125" style="101" bestFit="1" customWidth="1"/>
    <col min="19" max="19" width="17.5703125" style="101" bestFit="1" customWidth="1"/>
    <col min="20" max="20" width="18.42578125" style="101" bestFit="1" customWidth="1"/>
    <col min="21" max="22" width="17.42578125" style="101" bestFit="1" customWidth="1"/>
    <col min="23" max="23" width="18.5703125" style="101" bestFit="1" customWidth="1"/>
    <col min="24" max="24" width="19.140625" style="101" bestFit="1" customWidth="1"/>
    <col min="25" max="25" width="20.28515625" style="10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Portafolio_Cadena_Maíz!C103</f>
        <v>8. Fortalecimiento del desarrollo tecnológico y la innovación en la cadena de maíz.</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 si="0">SUM(E8:E9)</f>
        <v>1372151353.5009999</v>
      </c>
      <c r="F7" s="65">
        <f>SUM(F8:F9)</f>
        <v>4006419856.0019999</v>
      </c>
      <c r="G7" s="65">
        <f t="shared" ref="G7:X7" si="1">SUM(G8:G9)</f>
        <v>4006419856.0019999</v>
      </c>
      <c r="H7" s="65">
        <f t="shared" si="1"/>
        <v>3375361281.5019999</v>
      </c>
      <c r="I7" s="65">
        <f t="shared" si="1"/>
        <v>1482185558.0020001</v>
      </c>
      <c r="J7" s="65">
        <f t="shared" si="1"/>
        <v>370546389.50050002</v>
      </c>
      <c r="K7" s="65">
        <f t="shared" si="1"/>
        <v>2524234298</v>
      </c>
      <c r="L7" s="65">
        <f t="shared" si="1"/>
        <v>0</v>
      </c>
      <c r="M7" s="65">
        <f t="shared" si="1"/>
        <v>0</v>
      </c>
      <c r="N7" s="65">
        <f t="shared" si="1"/>
        <v>2524234298</v>
      </c>
      <c r="O7" s="65">
        <f t="shared" si="1"/>
        <v>0</v>
      </c>
      <c r="P7" s="65">
        <f t="shared" si="1"/>
        <v>0</v>
      </c>
      <c r="Q7" s="65">
        <f t="shared" si="1"/>
        <v>2524234298</v>
      </c>
      <c r="R7" s="65">
        <f t="shared" si="1"/>
        <v>0</v>
      </c>
      <c r="S7" s="65">
        <f t="shared" si="1"/>
        <v>0</v>
      </c>
      <c r="T7" s="65">
        <f t="shared" si="1"/>
        <v>2524234298</v>
      </c>
      <c r="U7" s="65">
        <f t="shared" si="1"/>
        <v>0</v>
      </c>
      <c r="V7" s="65">
        <f t="shared" si="1"/>
        <v>0</v>
      </c>
      <c r="W7" s="65">
        <f t="shared" si="1"/>
        <v>2524234298</v>
      </c>
      <c r="X7" s="65">
        <f t="shared" si="1"/>
        <v>0</v>
      </c>
      <c r="Y7" s="65">
        <f>SUM(E7:X7)</f>
        <v>27234255784.509499</v>
      </c>
      <c r="Z7" s="66"/>
    </row>
    <row r="8" spans="1:26" s="70" customFormat="1" ht="45.75" customHeight="1" x14ac:dyDescent="0.2">
      <c r="A8" s="67"/>
      <c r="B8" s="68" t="str">
        <f>Portafolio_Cadena_Maíz!D103</f>
        <v>8.1. Fortalecimiento de los procesos I+D+i para la cadena de maíz y sus derivados.</v>
      </c>
      <c r="C8" s="143" t="s">
        <v>184</v>
      </c>
      <c r="D8" s="143" t="s">
        <v>161</v>
      </c>
      <c r="E8" s="189">
        <f>+H44*6</f>
        <v>741092779.00100005</v>
      </c>
      <c r="F8" s="69">
        <f>+H43</f>
        <v>1482185558.0020001</v>
      </c>
      <c r="G8" s="69">
        <f>+H43</f>
        <v>1482185558.0020001</v>
      </c>
      <c r="H8" s="69">
        <f>+H43</f>
        <v>1482185558.0020001</v>
      </c>
      <c r="I8" s="69">
        <f>+H43</f>
        <v>1482185558.0020001</v>
      </c>
      <c r="J8" s="69">
        <f>+H44*3</f>
        <v>370546389.50050002</v>
      </c>
      <c r="K8" s="69" t="str">
        <f>+H41</f>
        <v>Por definir</v>
      </c>
      <c r="L8" s="69" t="str">
        <f>+$H$41</f>
        <v>Por definir</v>
      </c>
      <c r="M8" s="69" t="str">
        <f t="shared" ref="M8:X8" si="2">+$H$41</f>
        <v>Por definir</v>
      </c>
      <c r="N8" s="69" t="str">
        <f t="shared" si="2"/>
        <v>Por definir</v>
      </c>
      <c r="O8" s="69" t="str">
        <f t="shared" si="2"/>
        <v>Por definir</v>
      </c>
      <c r="P8" s="69" t="str">
        <f t="shared" si="2"/>
        <v>Por definir</v>
      </c>
      <c r="Q8" s="69" t="str">
        <f t="shared" si="2"/>
        <v>Por definir</v>
      </c>
      <c r="R8" s="69" t="str">
        <f t="shared" si="2"/>
        <v>Por definir</v>
      </c>
      <c r="S8" s="69" t="str">
        <f t="shared" si="2"/>
        <v>Por definir</v>
      </c>
      <c r="T8" s="69" t="str">
        <f t="shared" si="2"/>
        <v>Por definir</v>
      </c>
      <c r="U8" s="69" t="str">
        <f t="shared" si="2"/>
        <v>Por definir</v>
      </c>
      <c r="V8" s="69" t="str">
        <f t="shared" si="2"/>
        <v>Por definir</v>
      </c>
      <c r="W8" s="69" t="str">
        <f t="shared" si="2"/>
        <v>Por definir</v>
      </c>
      <c r="X8" s="69" t="str">
        <f t="shared" si="2"/>
        <v>Por definir</v>
      </c>
      <c r="Y8" s="69">
        <f>SUM(E8:X8)</f>
        <v>7040381400.5094995</v>
      </c>
      <c r="Z8" s="66"/>
    </row>
    <row r="9" spans="1:26" s="70" customFormat="1" ht="42.95" customHeight="1" x14ac:dyDescent="0.2">
      <c r="A9" s="67"/>
      <c r="B9" s="68" t="str">
        <f>Portafolio_Cadena_Maíz!D111</f>
        <v>8.2. Fortalecimiento del talento humano en I+D+i, y en extensionismo agrícola e industrial.</v>
      </c>
      <c r="C9" s="143" t="s">
        <v>358</v>
      </c>
      <c r="D9" s="143" t="s">
        <v>161</v>
      </c>
      <c r="E9" s="145">
        <f>+H84*3</f>
        <v>631058574.5</v>
      </c>
      <c r="F9" s="69">
        <f>+H83</f>
        <v>2524234298</v>
      </c>
      <c r="G9" s="69">
        <f>+H83</f>
        <v>2524234298</v>
      </c>
      <c r="H9" s="69">
        <f>+H84*9</f>
        <v>1893175723.5</v>
      </c>
      <c r="I9" s="69" t="str">
        <f>+H82</f>
        <v>Por definir</v>
      </c>
      <c r="J9" s="69" t="str">
        <f>+H82</f>
        <v>Por definir</v>
      </c>
      <c r="K9" s="69">
        <f>+H83</f>
        <v>2524234298</v>
      </c>
      <c r="L9" s="69" t="str">
        <f>+H82</f>
        <v>Por definir</v>
      </c>
      <c r="M9" s="69" t="str">
        <f>+H82</f>
        <v>Por definir</v>
      </c>
      <c r="N9" s="69">
        <f>+H83</f>
        <v>2524234298</v>
      </c>
      <c r="O9" s="69" t="str">
        <f>+H82</f>
        <v>Por definir</v>
      </c>
      <c r="P9" s="69" t="str">
        <f>+H82</f>
        <v>Por definir</v>
      </c>
      <c r="Q9" s="69">
        <f>+H83</f>
        <v>2524234298</v>
      </c>
      <c r="R9" s="69" t="str">
        <f>+H82</f>
        <v>Por definir</v>
      </c>
      <c r="S9" s="69" t="str">
        <f>+H82</f>
        <v>Por definir</v>
      </c>
      <c r="T9" s="69">
        <f>+H83</f>
        <v>2524234298</v>
      </c>
      <c r="U9" s="69" t="str">
        <f>+H82</f>
        <v>Por definir</v>
      </c>
      <c r="V9" s="69" t="str">
        <f>+H82</f>
        <v>Por definir</v>
      </c>
      <c r="W9" s="69">
        <f>+H83</f>
        <v>2524234298</v>
      </c>
      <c r="X9" s="69" t="str">
        <f>+H82</f>
        <v>Por definir</v>
      </c>
      <c r="Y9" s="69">
        <f>SUM(E9:X9)</f>
        <v>20193874384</v>
      </c>
      <c r="Z9" s="66"/>
    </row>
    <row r="10" spans="1:26" s="40" customFormat="1" ht="24.6" customHeight="1" x14ac:dyDescent="0.25">
      <c r="A10" s="101"/>
      <c r="B10" s="63" t="s">
        <v>32</v>
      </c>
      <c r="C10" s="63"/>
      <c r="D10" s="63"/>
      <c r="E10" s="71"/>
      <c r="F10" s="71"/>
      <c r="G10" s="71"/>
      <c r="H10" s="71"/>
      <c r="I10" s="71"/>
      <c r="J10" s="71"/>
      <c r="K10" s="71"/>
      <c r="L10" s="71"/>
      <c r="M10" s="71"/>
      <c r="N10" s="71"/>
      <c r="O10" s="71"/>
      <c r="P10" s="71"/>
      <c r="Q10" s="71"/>
      <c r="R10" s="71"/>
      <c r="S10" s="71"/>
      <c r="T10" s="71"/>
      <c r="U10" s="71"/>
      <c r="V10" s="71"/>
      <c r="W10" s="71"/>
      <c r="X10" s="71"/>
      <c r="Y10" s="71"/>
      <c r="Z10" s="66"/>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53" t="str">
        <f>B8</f>
        <v>8.1. Fortalecimiento de los procesos I+D+i para la cadena de maíz y sus derivados.</v>
      </c>
      <c r="C13" s="852"/>
      <c r="D13" s="852"/>
      <c r="E13" s="852"/>
      <c r="F13" s="852"/>
      <c r="G13" s="852"/>
      <c r="H13" s="852"/>
      <c r="I13" s="326"/>
      <c r="X13" s="77"/>
    </row>
    <row r="14" spans="1:26" s="102" customFormat="1" ht="14.45" customHeight="1" x14ac:dyDescent="0.25">
      <c r="B14" s="852"/>
      <c r="C14" s="852"/>
      <c r="D14" s="852"/>
      <c r="E14" s="852"/>
      <c r="F14" s="852"/>
      <c r="G14" s="852"/>
      <c r="H14" s="852"/>
      <c r="I14" s="326"/>
      <c r="X14" s="77"/>
    </row>
    <row r="15" spans="1:26" s="102" customFormat="1" ht="43.5" customHeight="1" x14ac:dyDescent="0.25">
      <c r="B15" s="854" t="str">
        <f>Portafolio_Cadena_Maíz!H103</f>
        <v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v>
      </c>
      <c r="C15" s="855"/>
      <c r="D15" s="855"/>
      <c r="E15" s="855"/>
      <c r="F15" s="855"/>
      <c r="G15" s="855"/>
      <c r="H15" s="855"/>
      <c r="I15" s="414"/>
      <c r="X15" s="77"/>
    </row>
    <row r="16" spans="1:26" s="102" customFormat="1" ht="45.95" customHeight="1" x14ac:dyDescent="0.25">
      <c r="B16" s="854" t="str">
        <f>Portafolio_Cadena_Maíz!H104</f>
        <v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v>
      </c>
      <c r="C16" s="855"/>
      <c r="D16" s="855"/>
      <c r="E16" s="855"/>
      <c r="F16" s="855"/>
      <c r="G16" s="855"/>
      <c r="H16" s="855"/>
      <c r="I16" s="414"/>
      <c r="X16" s="77"/>
    </row>
    <row r="17" spans="2:24" s="102" customFormat="1" ht="47.1" customHeight="1" x14ac:dyDescent="0.25">
      <c r="B17" s="854" t="str">
        <f>Portafolio_Cadena_Maíz!H105</f>
        <v>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v>
      </c>
      <c r="C17" s="855"/>
      <c r="D17" s="855"/>
      <c r="E17" s="855"/>
      <c r="F17" s="855"/>
      <c r="G17" s="855"/>
      <c r="H17" s="855"/>
      <c r="I17" s="414"/>
      <c r="X17" s="77"/>
    </row>
    <row r="18" spans="2:24" ht="27.95" customHeight="1" x14ac:dyDescent="0.25">
      <c r="B18" s="854" t="str">
        <f>Portafolio_Cadena_Maíz!H106</f>
        <v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v>
      </c>
      <c r="C18" s="855"/>
      <c r="D18" s="855"/>
      <c r="E18" s="855"/>
      <c r="F18" s="855"/>
      <c r="G18" s="855"/>
      <c r="H18" s="855"/>
    </row>
    <row r="19" spans="2:24" ht="33" customHeight="1" x14ac:dyDescent="0.25">
      <c r="B19" s="854" t="str">
        <f>Portafolio_Cadena_Maíz!H107</f>
        <v xml:space="preserve">8.1.5. Implementar el modelo de I+D+i, con enfoque regional y con la participación articulada de instituciones y actores públicos y privados, del ámbito nacional e internacional, en las líneas de investigación estratégicas concertadas por la cadena maicera. </v>
      </c>
      <c r="C19" s="855"/>
      <c r="D19" s="855"/>
      <c r="E19" s="855"/>
      <c r="F19" s="855"/>
      <c r="G19" s="855"/>
      <c r="H19" s="855"/>
    </row>
    <row r="20" spans="2:24" ht="26.1" customHeight="1" x14ac:dyDescent="0.25">
      <c r="B20" s="854" t="str">
        <f>Portafolio_Cadena_Maíz!H108</f>
        <v>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v>
      </c>
      <c r="C20" s="855"/>
      <c r="D20" s="855"/>
      <c r="E20" s="855"/>
      <c r="F20" s="855"/>
      <c r="G20" s="855"/>
      <c r="H20" s="855"/>
    </row>
    <row r="21" spans="2:24" ht="30.6" customHeight="1" x14ac:dyDescent="0.25">
      <c r="B21" s="854" t="str">
        <f>Portafolio_Cadena_Maíz!H109</f>
        <v>8.1.7. Impulsar la creación, desarrollo y/o fortalecimiento de modelos y/o empresas especializadas en la prestación de servicios de asistencia técnica y extensión agrícola e industrial, a través de instrumentos financieros y no financieros.</v>
      </c>
      <c r="C21" s="855"/>
      <c r="D21" s="855"/>
      <c r="E21" s="855"/>
      <c r="F21" s="855"/>
      <c r="G21" s="855"/>
      <c r="H21" s="855"/>
    </row>
    <row r="22" spans="2:24" ht="25.5" customHeight="1" x14ac:dyDescent="0.25">
      <c r="B22" s="854" t="str">
        <f>Portafolio_Cadena_Maíz!H110</f>
        <v>8.1.8. Realizar el seguimiento y monitoreo de los avances en I+D+i de la cadena de maíz, considerando aspectos como vigilancia tecnológica e inteligencia competitiva y diseñar un mecanismo de monitoreo del nivel de adopción e impacto de las tecnologías generadas para esta cadena.</v>
      </c>
      <c r="C22" s="855"/>
      <c r="D22" s="855"/>
      <c r="E22" s="855"/>
      <c r="F22" s="855"/>
      <c r="G22" s="855"/>
      <c r="H22" s="855"/>
    </row>
    <row r="23" spans="2:24" ht="14.45" customHeight="1" x14ac:dyDescent="0.25">
      <c r="B23" s="854"/>
      <c r="C23" s="855"/>
      <c r="D23" s="855"/>
      <c r="E23" s="855"/>
      <c r="F23" s="855"/>
      <c r="G23" s="855"/>
      <c r="H23" s="855"/>
    </row>
    <row r="24" spans="2:24" s="102" customFormat="1" ht="15" x14ac:dyDescent="0.25">
      <c r="B24" s="858" t="s">
        <v>595</v>
      </c>
      <c r="C24" s="859"/>
      <c r="D24" s="859"/>
      <c r="E24" s="859"/>
      <c r="F24" s="859"/>
      <c r="G24" s="859"/>
      <c r="H24" s="859"/>
      <c r="I24" s="414"/>
      <c r="X24" s="77"/>
    </row>
    <row r="25" spans="2:24" ht="15" x14ac:dyDescent="0.25">
      <c r="B25" s="78" t="s">
        <v>68</v>
      </c>
      <c r="C25" s="78" t="s">
        <v>58</v>
      </c>
      <c r="D25" s="78" t="s">
        <v>55</v>
      </c>
      <c r="E25" s="78" t="s">
        <v>54</v>
      </c>
      <c r="F25" s="79" t="s">
        <v>96</v>
      </c>
      <c r="G25" s="78" t="s">
        <v>70</v>
      </c>
      <c r="H25" s="78" t="s">
        <v>71</v>
      </c>
      <c r="X25" s="80"/>
    </row>
    <row r="26" spans="2:24" x14ac:dyDescent="0.2">
      <c r="B26" s="155" t="s">
        <v>72</v>
      </c>
      <c r="C26" s="48">
        <v>4</v>
      </c>
      <c r="D26" s="48" t="s">
        <v>73</v>
      </c>
      <c r="E26" s="187">
        <v>500000</v>
      </c>
      <c r="F26" s="48"/>
      <c r="G26" s="48"/>
      <c r="H26" s="149">
        <f>+C26*E26</f>
        <v>2000000</v>
      </c>
      <c r="I26" s="52"/>
    </row>
    <row r="27" spans="2:24" x14ac:dyDescent="0.2">
      <c r="B27" s="155" t="s">
        <v>74</v>
      </c>
      <c r="C27" s="48">
        <v>7</v>
      </c>
      <c r="D27" s="48" t="s">
        <v>73</v>
      </c>
      <c r="E27" s="187">
        <v>100000</v>
      </c>
      <c r="F27" s="48"/>
      <c r="G27" s="48"/>
      <c r="H27" s="149">
        <f>+C27*E27</f>
        <v>700000</v>
      </c>
      <c r="I27" s="52"/>
    </row>
    <row r="28" spans="2:24" x14ac:dyDescent="0.2">
      <c r="B28" s="155" t="s">
        <v>271</v>
      </c>
      <c r="C28" s="48">
        <v>4</v>
      </c>
      <c r="D28" s="48" t="s">
        <v>73</v>
      </c>
      <c r="E28" s="187">
        <v>2300000</v>
      </c>
      <c r="F28" s="48"/>
      <c r="G28" s="48"/>
      <c r="H28" s="149">
        <f>+C28*E28</f>
        <v>9200000</v>
      </c>
      <c r="I28" s="52"/>
    </row>
    <row r="29" spans="2:24" x14ac:dyDescent="0.2">
      <c r="B29" s="155" t="s">
        <v>267</v>
      </c>
      <c r="C29" s="48">
        <v>7</v>
      </c>
      <c r="D29" s="48" t="s">
        <v>73</v>
      </c>
      <c r="E29" s="187">
        <v>2300000</v>
      </c>
      <c r="F29" s="48"/>
      <c r="G29" s="48"/>
      <c r="H29" s="149">
        <f>+C29*E29</f>
        <v>16100000</v>
      </c>
      <c r="I29" s="52"/>
    </row>
    <row r="30" spans="2:24" x14ac:dyDescent="0.2">
      <c r="B30" s="155" t="s">
        <v>278</v>
      </c>
      <c r="C30" s="48">
        <v>19</v>
      </c>
      <c r="D30" s="48" t="s">
        <v>73</v>
      </c>
      <c r="E30" s="148">
        <v>460000</v>
      </c>
      <c r="F30" s="48"/>
      <c r="G30" s="48"/>
      <c r="H30" s="149">
        <f>+C30*E30</f>
        <v>8740000</v>
      </c>
      <c r="I30" s="52"/>
    </row>
    <row r="31" spans="2:24" x14ac:dyDescent="0.2">
      <c r="B31" s="155" t="s">
        <v>210</v>
      </c>
      <c r="C31" s="48">
        <v>4</v>
      </c>
      <c r="D31" s="48" t="s">
        <v>180</v>
      </c>
      <c r="E31" s="148">
        <v>9907096</v>
      </c>
      <c r="F31" s="96">
        <v>1</v>
      </c>
      <c r="G31" s="48">
        <v>12</v>
      </c>
      <c r="H31" s="149">
        <f>+C31*E31*F31*G31</f>
        <v>475540608</v>
      </c>
      <c r="I31" s="52"/>
    </row>
    <row r="32" spans="2:24" x14ac:dyDescent="0.2">
      <c r="B32" s="155" t="s">
        <v>80</v>
      </c>
      <c r="C32" s="48">
        <v>3</v>
      </c>
      <c r="D32" s="48" t="s">
        <v>73</v>
      </c>
      <c r="E32" s="148">
        <v>2774088</v>
      </c>
      <c r="F32" s="48"/>
      <c r="G32" s="48">
        <v>3</v>
      </c>
      <c r="H32" s="149">
        <f>+C32*E32*G32</f>
        <v>24966792</v>
      </c>
      <c r="I32" s="52"/>
    </row>
    <row r="33" spans="1:24" x14ac:dyDescent="0.2">
      <c r="B33" s="156" t="s">
        <v>288</v>
      </c>
      <c r="C33" s="48">
        <v>4</v>
      </c>
      <c r="D33" s="48" t="s">
        <v>169</v>
      </c>
      <c r="E33" s="148">
        <v>2000000</v>
      </c>
      <c r="F33" s="96"/>
      <c r="G33" s="48">
        <v>4</v>
      </c>
      <c r="H33" s="149">
        <f>+C33*E33*G33</f>
        <v>32000000</v>
      </c>
      <c r="I33" s="52"/>
    </row>
    <row r="34" spans="1:24" x14ac:dyDescent="0.2">
      <c r="B34" s="156" t="s">
        <v>289</v>
      </c>
      <c r="C34" s="48">
        <v>4</v>
      </c>
      <c r="D34" s="48" t="s">
        <v>180</v>
      </c>
      <c r="E34" s="180">
        <v>2967610</v>
      </c>
      <c r="F34" s="363"/>
      <c r="G34" s="46">
        <v>3</v>
      </c>
      <c r="H34" s="149">
        <f>+C34*E34*G34</f>
        <v>35611320</v>
      </c>
      <c r="I34" s="52"/>
    </row>
    <row r="35" spans="1:24" x14ac:dyDescent="0.2">
      <c r="B35" s="155" t="s">
        <v>228</v>
      </c>
      <c r="C35" s="48">
        <v>7</v>
      </c>
      <c r="D35" s="48" t="s">
        <v>284</v>
      </c>
      <c r="E35" s="148">
        <v>6604729</v>
      </c>
      <c r="F35" s="96">
        <v>1</v>
      </c>
      <c r="G35" s="48">
        <v>12</v>
      </c>
      <c r="H35" s="149">
        <f>+C35*E35*F35*G35</f>
        <v>554797236</v>
      </c>
      <c r="I35" s="52"/>
    </row>
    <row r="36" spans="1:24" x14ac:dyDescent="0.2">
      <c r="B36" s="48" t="s">
        <v>56</v>
      </c>
      <c r="C36" s="48">
        <v>7</v>
      </c>
      <c r="D36" s="48" t="s">
        <v>169</v>
      </c>
      <c r="E36" s="148">
        <v>1300000</v>
      </c>
      <c r="F36" s="48"/>
      <c r="G36" s="48">
        <v>12</v>
      </c>
      <c r="H36" s="149">
        <f>+C36*E36*G36</f>
        <v>109200000</v>
      </c>
      <c r="I36" s="52"/>
    </row>
    <row r="37" spans="1:24" x14ac:dyDescent="0.2">
      <c r="B37" s="48" t="s">
        <v>178</v>
      </c>
      <c r="C37" s="48">
        <f>+C35</f>
        <v>7</v>
      </c>
      <c r="D37" s="48" t="s">
        <v>169</v>
      </c>
      <c r="E37" s="148">
        <v>155000</v>
      </c>
      <c r="F37" s="48"/>
      <c r="G37" s="48">
        <v>12</v>
      </c>
      <c r="H37" s="149">
        <f>+C37*E37*G37</f>
        <v>13020000</v>
      </c>
      <c r="I37" s="52"/>
    </row>
    <row r="38" spans="1:24" x14ac:dyDescent="0.2">
      <c r="B38" s="156" t="s">
        <v>353</v>
      </c>
      <c r="C38" s="48">
        <v>7</v>
      </c>
      <c r="D38" s="48" t="s">
        <v>290</v>
      </c>
      <c r="E38" s="148">
        <v>8954882.5200000014</v>
      </c>
      <c r="F38" s="96"/>
      <c r="G38" s="48"/>
      <c r="H38" s="149">
        <f>+C38*E38</f>
        <v>62684177.640000008</v>
      </c>
      <c r="I38" s="52"/>
    </row>
    <row r="39" spans="1:24" x14ac:dyDescent="0.2">
      <c r="B39" s="156" t="s">
        <v>354</v>
      </c>
      <c r="C39" s="48">
        <v>3</v>
      </c>
      <c r="D39" s="48" t="s">
        <v>290</v>
      </c>
      <c r="E39" s="148">
        <v>19476574.949999999</v>
      </c>
      <c r="F39" s="96"/>
      <c r="G39" s="48"/>
      <c r="H39" s="149">
        <f>+C39*E39</f>
        <v>58429724.849999994</v>
      </c>
      <c r="I39" s="52"/>
    </row>
    <row r="40" spans="1:24" x14ac:dyDescent="0.2">
      <c r="B40" s="156" t="s">
        <v>355</v>
      </c>
      <c r="C40" s="48">
        <v>2</v>
      </c>
      <c r="D40" s="48" t="s">
        <v>290</v>
      </c>
      <c r="E40" s="148">
        <v>39597849.755999997</v>
      </c>
      <c r="F40" s="96"/>
      <c r="G40" s="48"/>
      <c r="H40" s="149">
        <f>+C40*E40</f>
        <v>79195699.511999995</v>
      </c>
      <c r="I40" s="52"/>
    </row>
    <row r="41" spans="1:24" x14ac:dyDescent="0.2">
      <c r="B41" s="156" t="s">
        <v>291</v>
      </c>
      <c r="C41" s="48"/>
      <c r="D41" s="48"/>
      <c r="E41" s="148"/>
      <c r="F41" s="96"/>
      <c r="G41" s="48"/>
      <c r="H41" s="149" t="s">
        <v>67</v>
      </c>
      <c r="I41" s="52"/>
    </row>
    <row r="42" spans="1:24" x14ac:dyDescent="0.2">
      <c r="B42" s="190" t="s">
        <v>292</v>
      </c>
      <c r="C42" s="48"/>
      <c r="D42" s="48"/>
      <c r="E42" s="148"/>
      <c r="F42" s="48"/>
      <c r="G42" s="48"/>
      <c r="H42" s="149" t="s">
        <v>67</v>
      </c>
      <c r="I42" s="52"/>
    </row>
    <row r="43" spans="1:24" ht="15" x14ac:dyDescent="0.25">
      <c r="B43" s="85" t="s">
        <v>32</v>
      </c>
      <c r="C43" s="86"/>
      <c r="D43" s="86"/>
      <c r="E43" s="86"/>
      <c r="F43" s="87"/>
      <c r="G43" s="87"/>
      <c r="H43" s="114">
        <f>SUM(H26:H42)</f>
        <v>1482185558.0020001</v>
      </c>
      <c r="I43" s="137"/>
      <c r="J43" s="102"/>
    </row>
    <row r="44" spans="1:24" ht="15" x14ac:dyDescent="0.25">
      <c r="B44" s="85" t="s">
        <v>269</v>
      </c>
      <c r="C44" s="86"/>
      <c r="D44" s="86"/>
      <c r="E44" s="86"/>
      <c r="F44" s="87"/>
      <c r="G44" s="87"/>
      <c r="H44" s="114">
        <f>+H43/12</f>
        <v>123515463.16683334</v>
      </c>
      <c r="I44" s="137"/>
      <c r="J44" s="102"/>
    </row>
    <row r="45" spans="1:24" s="102" customFormat="1" ht="245.25" customHeight="1" x14ac:dyDescent="0.2">
      <c r="B45" s="188" t="s">
        <v>356</v>
      </c>
      <c r="C45" s="89"/>
      <c r="D45" s="89"/>
      <c r="E45" s="89"/>
      <c r="F45" s="89"/>
      <c r="G45" s="89"/>
      <c r="H45" s="89"/>
    </row>
    <row r="46" spans="1:24" ht="15" x14ac:dyDescent="0.25">
      <c r="B46" s="325"/>
      <c r="C46" s="325"/>
      <c r="D46" s="325"/>
      <c r="E46" s="325"/>
      <c r="F46" s="325"/>
      <c r="G46" s="325"/>
      <c r="H46" s="325"/>
      <c r="I46" s="90"/>
    </row>
    <row r="47" spans="1:24" s="102" customFormat="1" ht="21.75" customHeight="1" x14ac:dyDescent="0.2">
      <c r="A47" s="91"/>
      <c r="B47" s="862" t="str">
        <f>B9</f>
        <v>8.2. Fortalecimiento del talento humano en I+D+i, y en extensionismo agrícola e industrial.</v>
      </c>
      <c r="C47" s="863"/>
      <c r="D47" s="863"/>
      <c r="E47" s="863"/>
      <c r="F47" s="863"/>
      <c r="G47" s="863"/>
      <c r="H47" s="863"/>
      <c r="I47" s="101"/>
    </row>
    <row r="48" spans="1:24" s="102" customFormat="1" ht="29.45" customHeight="1" x14ac:dyDescent="0.25">
      <c r="B48" s="854" t="str">
        <f>Portafolio_Cadena_Maíz!H111</f>
        <v>8.2.1. Identificar y evaluar la oferta de formación, capacitación y cobertura de investigadores, profesionales, técnicos y tecnólogos, realizando un análisis de brechas de formación, en temas específicos requeridos por la cadena de maíz.</v>
      </c>
      <c r="C48" s="855"/>
      <c r="D48" s="855"/>
      <c r="E48" s="855"/>
      <c r="F48" s="855"/>
      <c r="G48" s="855"/>
      <c r="H48" s="855"/>
      <c r="I48" s="414"/>
      <c r="X48" s="77"/>
    </row>
    <row r="49" spans="1:24" s="102" customFormat="1" ht="30.6" customHeight="1" x14ac:dyDescent="0.25">
      <c r="B49" s="854" t="str">
        <f>Portafolio_Cadena_Maíz!H112</f>
        <v>8.2.2. Promover acuerdos con instituciones educativas para fortalecer la formación en las áreas básicas del conocimiento y en las áreas temáticas, acordes con las necesidades de I+D+i y transferencia de tecnologías, de la cadena de maíz.</v>
      </c>
      <c r="C49" s="855"/>
      <c r="D49" s="855"/>
      <c r="E49" s="855"/>
      <c r="F49" s="855"/>
      <c r="G49" s="855"/>
      <c r="H49" s="855"/>
      <c r="I49" s="414"/>
      <c r="X49" s="77"/>
    </row>
    <row r="50" spans="1:24" s="102" customFormat="1" ht="28.5" customHeight="1" x14ac:dyDescent="0.25">
      <c r="B50" s="854" t="str">
        <f>Portafolio_Cadena_Maíz!H113</f>
        <v>8.2.3. Promover el diseño, mejora y/o actualización de los programas de formación integral y capacitación por competencias, y desarrollo de habilidades prácticas, a los extensionistas y asistentes técnicos agrícolas e industriales, para la cadena de maíz.</v>
      </c>
      <c r="C50" s="855"/>
      <c r="D50" s="855"/>
      <c r="E50" s="855"/>
      <c r="F50" s="855"/>
      <c r="G50" s="855"/>
      <c r="H50" s="855"/>
      <c r="I50" s="414"/>
      <c r="X50" s="77"/>
    </row>
    <row r="51" spans="1:24" ht="31.5" customHeight="1" x14ac:dyDescent="0.25">
      <c r="B51" s="854" t="str">
        <f>Portafolio_Cadena_Maíz!H114</f>
        <v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v>
      </c>
      <c r="C51" s="855"/>
      <c r="D51" s="855"/>
      <c r="E51" s="855"/>
      <c r="F51" s="855"/>
      <c r="G51" s="855"/>
      <c r="H51" s="855"/>
    </row>
    <row r="52" spans="1:24" ht="15" x14ac:dyDescent="0.25">
      <c r="B52" s="854" t="str">
        <f>Portafolio_Cadena_Maíz!H115</f>
        <v>8.2.5. Formar capital humano en competencias, habilidades y destrezas para estructuración y gestión de proyectos de I+D+i para la cadena.</v>
      </c>
      <c r="C52" s="855"/>
      <c r="D52" s="855"/>
      <c r="E52" s="855"/>
      <c r="F52" s="855"/>
      <c r="G52" s="855"/>
      <c r="H52" s="855"/>
    </row>
    <row r="53" spans="1:24" ht="32.450000000000003" customHeight="1" x14ac:dyDescent="0.25">
      <c r="B53" s="854" t="str">
        <f>Portafolio_Cadena_Maíz!H116</f>
        <v>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v>
      </c>
      <c r="C53" s="855"/>
      <c r="D53" s="855"/>
      <c r="E53" s="855"/>
      <c r="F53" s="855"/>
      <c r="G53" s="855"/>
      <c r="H53" s="855"/>
    </row>
    <row r="54" spans="1:24" ht="30.6" customHeight="1" x14ac:dyDescent="0.25">
      <c r="B54" s="854" t="str">
        <f>Portafolio_Cadena_Maíz!H117</f>
        <v>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v>
      </c>
      <c r="C54" s="855"/>
      <c r="D54" s="855"/>
      <c r="E54" s="855"/>
      <c r="F54" s="855"/>
      <c r="G54" s="855"/>
      <c r="H54" s="855"/>
    </row>
    <row r="55" spans="1:24" ht="30.6" customHeight="1" x14ac:dyDescent="0.25">
      <c r="B55" s="396"/>
      <c r="C55" s="415"/>
      <c r="D55" s="415"/>
      <c r="E55" s="415"/>
      <c r="F55" s="415"/>
      <c r="G55" s="415"/>
      <c r="H55" s="415"/>
    </row>
    <row r="56" spans="1:24" ht="15" x14ac:dyDescent="0.25">
      <c r="B56" s="858" t="s">
        <v>595</v>
      </c>
      <c r="C56" s="859"/>
      <c r="D56" s="859"/>
      <c r="E56" s="859"/>
      <c r="F56" s="859"/>
      <c r="G56" s="859"/>
      <c r="H56" s="859"/>
    </row>
    <row r="57" spans="1:24" ht="15" x14ac:dyDescent="0.25">
      <c r="B57" s="78" t="s">
        <v>68</v>
      </c>
      <c r="C57" s="78" t="s">
        <v>58</v>
      </c>
      <c r="D57" s="78" t="s">
        <v>55</v>
      </c>
      <c r="E57" s="78" t="s">
        <v>54</v>
      </c>
      <c r="F57" s="78" t="s">
        <v>69</v>
      </c>
      <c r="G57" s="78" t="s">
        <v>70</v>
      </c>
      <c r="H57" s="78" t="s">
        <v>71</v>
      </c>
    </row>
    <row r="58" spans="1:24" s="102" customFormat="1" x14ac:dyDescent="0.2">
      <c r="A58" s="92"/>
      <c r="B58" s="279" t="s">
        <v>72</v>
      </c>
      <c r="C58" s="104">
        <v>4</v>
      </c>
      <c r="D58" s="104" t="s">
        <v>73</v>
      </c>
      <c r="E58" s="81">
        <v>500000</v>
      </c>
      <c r="F58" s="104"/>
      <c r="G58" s="104"/>
      <c r="H58" s="81">
        <f>+C58*E58</f>
        <v>2000000</v>
      </c>
      <c r="I58" s="52"/>
    </row>
    <row r="59" spans="1:24" s="102" customFormat="1" x14ac:dyDescent="0.2">
      <c r="B59" s="372" t="s">
        <v>74</v>
      </c>
      <c r="C59" s="46">
        <v>19</v>
      </c>
      <c r="D59" s="46" t="s">
        <v>73</v>
      </c>
      <c r="E59" s="149">
        <v>100000</v>
      </c>
      <c r="F59" s="46"/>
      <c r="G59" s="46"/>
      <c r="H59" s="149">
        <f t="shared" ref="H59:H74" si="3">+C59*E59</f>
        <v>1900000</v>
      </c>
      <c r="I59" s="52"/>
    </row>
    <row r="60" spans="1:24" s="102" customFormat="1" x14ac:dyDescent="0.2">
      <c r="A60" s="92"/>
      <c r="B60" s="278" t="s">
        <v>271</v>
      </c>
      <c r="C60" s="46">
        <v>4</v>
      </c>
      <c r="D60" s="46" t="s">
        <v>73</v>
      </c>
      <c r="E60" s="149">
        <v>2300000</v>
      </c>
      <c r="F60" s="46"/>
      <c r="G60" s="46"/>
      <c r="H60" s="149">
        <f t="shared" si="3"/>
        <v>9200000</v>
      </c>
      <c r="I60" s="52"/>
    </row>
    <row r="61" spans="1:24" s="102" customFormat="1" x14ac:dyDescent="0.2">
      <c r="A61" s="92"/>
      <c r="B61" s="278" t="s">
        <v>267</v>
      </c>
      <c r="C61" s="46">
        <v>7</v>
      </c>
      <c r="D61" s="46" t="s">
        <v>73</v>
      </c>
      <c r="E61" s="149">
        <v>2300000</v>
      </c>
      <c r="F61" s="46"/>
      <c r="G61" s="46"/>
      <c r="H61" s="149">
        <f t="shared" si="3"/>
        <v>16100000</v>
      </c>
      <c r="I61" s="52"/>
    </row>
    <row r="62" spans="1:24" s="102" customFormat="1" x14ac:dyDescent="0.2">
      <c r="B62" s="278" t="s">
        <v>278</v>
      </c>
      <c r="C62" s="46">
        <v>19</v>
      </c>
      <c r="D62" s="46" t="s">
        <v>73</v>
      </c>
      <c r="E62" s="149">
        <v>460000</v>
      </c>
      <c r="F62" s="46"/>
      <c r="G62" s="46"/>
      <c r="H62" s="149">
        <f t="shared" si="3"/>
        <v>8740000</v>
      </c>
      <c r="I62" s="52"/>
    </row>
    <row r="63" spans="1:24" s="102" customFormat="1" x14ac:dyDescent="0.2">
      <c r="B63" s="278" t="s">
        <v>192</v>
      </c>
      <c r="C63" s="46">
        <v>4</v>
      </c>
      <c r="D63" s="46" t="s">
        <v>73</v>
      </c>
      <c r="E63" s="149">
        <v>2000000</v>
      </c>
      <c r="F63" s="46"/>
      <c r="G63" s="46"/>
      <c r="H63" s="149">
        <f>+C63*E63</f>
        <v>8000000</v>
      </c>
      <c r="I63" s="52"/>
    </row>
    <row r="64" spans="1:24" s="102" customFormat="1" x14ac:dyDescent="0.2">
      <c r="B64" s="278" t="s">
        <v>281</v>
      </c>
      <c r="C64" s="46">
        <v>19</v>
      </c>
      <c r="D64" s="46" t="s">
        <v>73</v>
      </c>
      <c r="E64" s="149">
        <v>5170000</v>
      </c>
      <c r="F64" s="46"/>
      <c r="G64" s="46"/>
      <c r="H64" s="149">
        <f>+C64*E64</f>
        <v>98230000</v>
      </c>
      <c r="I64" s="52"/>
    </row>
    <row r="65" spans="2:9" s="102" customFormat="1" x14ac:dyDescent="0.2">
      <c r="B65" s="278" t="s">
        <v>234</v>
      </c>
      <c r="C65" s="46">
        <v>19</v>
      </c>
      <c r="D65" s="46" t="s">
        <v>73</v>
      </c>
      <c r="E65" s="149">
        <v>3270000</v>
      </c>
      <c r="F65" s="46"/>
      <c r="G65" s="46"/>
      <c r="H65" s="149">
        <f>+C65*E65</f>
        <v>62130000</v>
      </c>
      <c r="I65" s="52"/>
    </row>
    <row r="66" spans="2:9" x14ac:dyDescent="0.2">
      <c r="B66" s="373" t="s">
        <v>76</v>
      </c>
      <c r="C66" s="46">
        <v>19</v>
      </c>
      <c r="D66" s="46" t="s">
        <v>274</v>
      </c>
      <c r="E66" s="180">
        <v>6000000</v>
      </c>
      <c r="F66" s="46"/>
      <c r="G66" s="46"/>
      <c r="H66" s="149">
        <f>+C66*E66</f>
        <v>114000000</v>
      </c>
      <c r="I66" s="52"/>
    </row>
    <row r="67" spans="2:9" x14ac:dyDescent="0.2">
      <c r="B67" s="373" t="s">
        <v>77</v>
      </c>
      <c r="C67" s="46">
        <f>+C66*5</f>
        <v>95</v>
      </c>
      <c r="D67" s="46" t="s">
        <v>73</v>
      </c>
      <c r="E67" s="180">
        <v>1800000</v>
      </c>
      <c r="F67" s="46"/>
      <c r="G67" s="46"/>
      <c r="H67" s="149">
        <f t="shared" si="3"/>
        <v>171000000</v>
      </c>
      <c r="I67" s="52"/>
    </row>
    <row r="68" spans="2:9" x14ac:dyDescent="0.2">
      <c r="B68" s="372" t="s">
        <v>162</v>
      </c>
      <c r="C68" s="46">
        <v>19</v>
      </c>
      <c r="D68" s="46" t="s">
        <v>284</v>
      </c>
      <c r="E68" s="180">
        <v>1500000</v>
      </c>
      <c r="F68" s="374"/>
      <c r="G68" s="46"/>
      <c r="H68" s="149">
        <f t="shared" si="3"/>
        <v>28500000</v>
      </c>
      <c r="I68" s="52"/>
    </row>
    <row r="69" spans="2:9" x14ac:dyDescent="0.2">
      <c r="B69" s="372" t="s">
        <v>78</v>
      </c>
      <c r="C69" s="46">
        <f>+C68*5</f>
        <v>95</v>
      </c>
      <c r="D69" s="46" t="s">
        <v>73</v>
      </c>
      <c r="E69" s="180">
        <v>450000</v>
      </c>
      <c r="F69" s="363"/>
      <c r="G69" s="46"/>
      <c r="H69" s="149">
        <f t="shared" si="3"/>
        <v>42750000</v>
      </c>
      <c r="I69" s="52"/>
    </row>
    <row r="70" spans="2:9" x14ac:dyDescent="0.2">
      <c r="B70" s="372" t="s">
        <v>175</v>
      </c>
      <c r="C70" s="46">
        <v>19</v>
      </c>
      <c r="D70" s="46" t="s">
        <v>284</v>
      </c>
      <c r="E70" s="180">
        <v>3000000</v>
      </c>
      <c r="F70" s="363"/>
      <c r="G70" s="46"/>
      <c r="H70" s="149">
        <f t="shared" si="3"/>
        <v>57000000</v>
      </c>
      <c r="I70" s="52"/>
    </row>
    <row r="71" spans="2:9" x14ac:dyDescent="0.2">
      <c r="B71" s="372" t="s">
        <v>283</v>
      </c>
      <c r="C71" s="46">
        <f>+C70*5</f>
        <v>95</v>
      </c>
      <c r="D71" s="46" t="s">
        <v>73</v>
      </c>
      <c r="E71" s="180">
        <v>900000</v>
      </c>
      <c r="F71" s="363"/>
      <c r="G71" s="46"/>
      <c r="H71" s="149">
        <f t="shared" si="3"/>
        <v>85500000</v>
      </c>
      <c r="I71" s="52"/>
    </row>
    <row r="72" spans="2:9" x14ac:dyDescent="0.2">
      <c r="B72" s="372" t="s">
        <v>293</v>
      </c>
      <c r="C72" s="46">
        <v>7</v>
      </c>
      <c r="D72" s="46" t="s">
        <v>284</v>
      </c>
      <c r="E72" s="180">
        <v>30000000</v>
      </c>
      <c r="F72" s="363">
        <v>0.3</v>
      </c>
      <c r="G72" s="46"/>
      <c r="H72" s="149">
        <f t="shared" si="3"/>
        <v>210000000</v>
      </c>
      <c r="I72" s="52"/>
    </row>
    <row r="73" spans="2:9" x14ac:dyDescent="0.2">
      <c r="B73" s="372" t="s">
        <v>294</v>
      </c>
      <c r="C73" s="46">
        <v>7</v>
      </c>
      <c r="D73" s="46" t="s">
        <v>284</v>
      </c>
      <c r="E73" s="180">
        <v>45000000</v>
      </c>
      <c r="F73" s="363">
        <v>0.3</v>
      </c>
      <c r="G73" s="46"/>
      <c r="H73" s="149">
        <f t="shared" si="3"/>
        <v>315000000</v>
      </c>
      <c r="I73" s="52"/>
    </row>
    <row r="74" spans="2:9" x14ac:dyDescent="0.2">
      <c r="B74" s="372" t="s">
        <v>295</v>
      </c>
      <c r="C74" s="46">
        <v>4</v>
      </c>
      <c r="D74" s="46" t="s">
        <v>284</v>
      </c>
      <c r="E74" s="180">
        <v>100000000</v>
      </c>
      <c r="F74" s="363">
        <v>0.3</v>
      </c>
      <c r="G74" s="46"/>
      <c r="H74" s="149">
        <f t="shared" si="3"/>
        <v>400000000</v>
      </c>
      <c r="I74" s="52"/>
    </row>
    <row r="75" spans="2:9" x14ac:dyDescent="0.2">
      <c r="B75" s="372" t="s">
        <v>79</v>
      </c>
      <c r="C75" s="46">
        <v>2</v>
      </c>
      <c r="D75" s="46" t="s">
        <v>284</v>
      </c>
      <c r="E75" s="180">
        <v>7862772</v>
      </c>
      <c r="F75" s="363">
        <v>1</v>
      </c>
      <c r="G75" s="46">
        <v>12</v>
      </c>
      <c r="H75" s="149">
        <f>+C75*E75*F75*G75</f>
        <v>188706528</v>
      </c>
      <c r="I75" s="52"/>
    </row>
    <row r="76" spans="2:9" x14ac:dyDescent="0.2">
      <c r="B76" s="372" t="s">
        <v>80</v>
      </c>
      <c r="C76" s="46">
        <v>2</v>
      </c>
      <c r="D76" s="46" t="s">
        <v>169</v>
      </c>
      <c r="E76" s="180">
        <v>2282805</v>
      </c>
      <c r="F76" s="46"/>
      <c r="G76" s="46">
        <v>3</v>
      </c>
      <c r="H76" s="149">
        <f>+C76*E76*G76</f>
        <v>13696830</v>
      </c>
      <c r="I76" s="52"/>
    </row>
    <row r="77" spans="2:9" x14ac:dyDescent="0.2">
      <c r="B77" s="372" t="s">
        <v>296</v>
      </c>
      <c r="C77" s="46">
        <v>2</v>
      </c>
      <c r="D77" s="46" t="s">
        <v>169</v>
      </c>
      <c r="E77" s="180">
        <v>2000000</v>
      </c>
      <c r="F77" s="46"/>
      <c r="G77" s="46">
        <v>2</v>
      </c>
      <c r="H77" s="149">
        <f>+C77*E77*G77</f>
        <v>8000000</v>
      </c>
      <c r="I77" s="52"/>
    </row>
    <row r="78" spans="2:9" x14ac:dyDescent="0.2">
      <c r="B78" s="372" t="s">
        <v>289</v>
      </c>
      <c r="C78" s="46">
        <v>2</v>
      </c>
      <c r="D78" s="46" t="s">
        <v>169</v>
      </c>
      <c r="E78" s="180">
        <v>1690926</v>
      </c>
      <c r="F78" s="46"/>
      <c r="G78" s="46">
        <v>2</v>
      </c>
      <c r="H78" s="149">
        <f>+C78*E78*G78</f>
        <v>6763704</v>
      </c>
      <c r="I78" s="52"/>
    </row>
    <row r="79" spans="2:9" x14ac:dyDescent="0.2">
      <c r="B79" s="372" t="s">
        <v>228</v>
      </c>
      <c r="C79" s="46">
        <v>7</v>
      </c>
      <c r="D79" s="46" t="s">
        <v>284</v>
      </c>
      <c r="E79" s="180">
        <v>6604729</v>
      </c>
      <c r="F79" s="363">
        <v>1</v>
      </c>
      <c r="G79" s="46">
        <v>12</v>
      </c>
      <c r="H79" s="149">
        <f>+C79*E79*F79*G79</f>
        <v>554797236</v>
      </c>
      <c r="I79" s="52"/>
    </row>
    <row r="80" spans="2:9" x14ac:dyDescent="0.2">
      <c r="B80" s="372" t="s">
        <v>56</v>
      </c>
      <c r="C80" s="46">
        <f>+C79</f>
        <v>7</v>
      </c>
      <c r="D80" s="46" t="s">
        <v>169</v>
      </c>
      <c r="E80" s="180">
        <v>1300000</v>
      </c>
      <c r="F80" s="46"/>
      <c r="G80" s="46">
        <v>12</v>
      </c>
      <c r="H80" s="149">
        <f>+C80*E80*G80</f>
        <v>109200000</v>
      </c>
      <c r="I80" s="52"/>
    </row>
    <row r="81" spans="2:9" x14ac:dyDescent="0.2">
      <c r="B81" s="372" t="s">
        <v>178</v>
      </c>
      <c r="C81" s="46">
        <f>+C79</f>
        <v>7</v>
      </c>
      <c r="D81" s="46" t="s">
        <v>169</v>
      </c>
      <c r="E81" s="180">
        <v>155000</v>
      </c>
      <c r="F81" s="46"/>
      <c r="G81" s="46">
        <v>12</v>
      </c>
      <c r="H81" s="149">
        <f>+C81*E81*G81</f>
        <v>13020000</v>
      </c>
      <c r="I81" s="52"/>
    </row>
    <row r="82" spans="2:9" x14ac:dyDescent="0.2">
      <c r="B82" s="372" t="s">
        <v>297</v>
      </c>
      <c r="C82" s="375"/>
      <c r="D82" s="375"/>
      <c r="E82" s="191"/>
      <c r="F82" s="376"/>
      <c r="G82" s="375"/>
      <c r="H82" s="191" t="s">
        <v>67</v>
      </c>
      <c r="I82" s="52"/>
    </row>
    <row r="83" spans="2:9" ht="15" x14ac:dyDescent="0.25">
      <c r="B83" s="85" t="s">
        <v>85</v>
      </c>
      <c r="C83" s="86"/>
      <c r="D83" s="86"/>
      <c r="E83" s="87"/>
      <c r="F83" s="87"/>
      <c r="G83" s="86"/>
      <c r="H83" s="98">
        <f>SUM(H58:H82)</f>
        <v>2524234298</v>
      </c>
      <c r="I83" s="52"/>
    </row>
    <row r="84" spans="2:9" ht="15" x14ac:dyDescent="0.25">
      <c r="B84" s="85" t="s">
        <v>269</v>
      </c>
      <c r="C84" s="86"/>
      <c r="D84" s="86"/>
      <c r="E84" s="87"/>
      <c r="F84" s="87"/>
      <c r="G84" s="86"/>
      <c r="H84" s="98">
        <f>+H83/12</f>
        <v>210352858.16666666</v>
      </c>
      <c r="I84" s="52"/>
    </row>
    <row r="85" spans="2:9" ht="199.5" customHeight="1" x14ac:dyDescent="0.2">
      <c r="B85" s="192" t="s">
        <v>357</v>
      </c>
      <c r="C85" s="102"/>
      <c r="D85" s="102"/>
      <c r="E85" s="102"/>
      <c r="F85" s="77"/>
      <c r="G85" s="77"/>
      <c r="H85" s="102"/>
    </row>
    <row r="86" spans="2:9" x14ac:dyDescent="0.2">
      <c r="B86" s="102"/>
      <c r="C86" s="102"/>
      <c r="D86" s="102"/>
      <c r="E86" s="102"/>
      <c r="F86" s="102"/>
      <c r="G86" s="102"/>
    </row>
  </sheetData>
  <sheetProtection algorithmName="SHA-512" hashValue="71kvRAxEzVOFMalJ8O2BJ3vvNxRwEJlBX8gXvnTk+WZaZ3+kKdInpNbYXfEZgI+HWRJdLYc5QtwSSn2lSkKD9g==" saltValue="n6zTkm3qXfDH1Zk9PqU/lw==" spinCount="100000" sheet="1" objects="1" scenarios="1"/>
  <mergeCells count="20">
    <mergeCell ref="B13:H14"/>
    <mergeCell ref="B47:H47"/>
    <mergeCell ref="B15:H15"/>
    <mergeCell ref="B16:H16"/>
    <mergeCell ref="B17:H17"/>
    <mergeCell ref="B18:H18"/>
    <mergeCell ref="B24:H24"/>
    <mergeCell ref="B19:H19"/>
    <mergeCell ref="B20:H20"/>
    <mergeCell ref="B21:H21"/>
    <mergeCell ref="B22:H22"/>
    <mergeCell ref="B23:H23"/>
    <mergeCell ref="B53:H53"/>
    <mergeCell ref="B54:H54"/>
    <mergeCell ref="B56:H56"/>
    <mergeCell ref="B48:H48"/>
    <mergeCell ref="B49:H49"/>
    <mergeCell ref="B50:H50"/>
    <mergeCell ref="B51:H51"/>
    <mergeCell ref="B52:H5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7"/>
  <sheetViews>
    <sheetView showGridLines="0" zoomScale="70" zoomScaleNormal="70" workbookViewId="0">
      <selection activeCell="A161" sqref="A161:XFD161"/>
    </sheetView>
  </sheetViews>
  <sheetFormatPr baseColWidth="10" defaultColWidth="10.7109375" defaultRowHeight="14.25" x14ac:dyDescent="0.2"/>
  <cols>
    <col min="1" max="1" width="13.42578125" style="216" customWidth="1"/>
    <col min="2" max="2" width="67.42578125" style="216" customWidth="1"/>
    <col min="3" max="3" width="26.5703125" style="216" customWidth="1"/>
    <col min="4" max="4" width="23" style="216" customWidth="1"/>
    <col min="5" max="5" width="22.42578125" style="216" customWidth="1"/>
    <col min="6" max="6" width="20.42578125" style="216" bestFit="1" customWidth="1"/>
    <col min="7" max="7" width="18.42578125" style="216" bestFit="1" customWidth="1"/>
    <col min="8" max="8" width="19.42578125" style="216" bestFit="1" customWidth="1"/>
    <col min="9" max="9" width="21.5703125" style="216" hidden="1" customWidth="1"/>
    <col min="10" max="11" width="17.42578125" style="216" bestFit="1" customWidth="1"/>
    <col min="12" max="12" width="19.140625" style="216" bestFit="1" customWidth="1"/>
    <col min="13" max="13" width="17.42578125" style="216" bestFit="1" customWidth="1"/>
    <col min="14" max="14" width="18.5703125" style="216" bestFit="1" customWidth="1"/>
    <col min="15" max="15" width="17.42578125" style="216" bestFit="1" customWidth="1"/>
    <col min="16" max="16" width="17.5703125" style="216" customWidth="1"/>
    <col min="17" max="17" width="18.5703125" style="216" bestFit="1" customWidth="1"/>
    <col min="18" max="18" width="17.42578125" style="216" bestFit="1" customWidth="1"/>
    <col min="19" max="19" width="17.5703125" style="216" bestFit="1" customWidth="1"/>
    <col min="20" max="22" width="17.42578125" style="216" bestFit="1" customWidth="1"/>
    <col min="23" max="23" width="18.5703125" style="216" bestFit="1" customWidth="1"/>
    <col min="24" max="24" width="19.140625" style="216" bestFit="1" customWidth="1"/>
    <col min="25" max="25" width="19.85546875" style="216" customWidth="1"/>
    <col min="26" max="26" width="19.140625" style="216" bestFit="1" customWidth="1"/>
    <col min="27" max="27" width="17" style="216" bestFit="1" customWidth="1"/>
    <col min="28" max="28" width="17.85546875" style="216" customWidth="1"/>
    <col min="29" max="16384" width="10.7109375" style="216"/>
  </cols>
  <sheetData>
    <row r="2" spans="1:26" ht="15" x14ac:dyDescent="0.25">
      <c r="A2" s="215" t="s">
        <v>87</v>
      </c>
    </row>
    <row r="3" spans="1:26" s="67" customFormat="1" ht="15" x14ac:dyDescent="0.25">
      <c r="A3" s="217"/>
    </row>
    <row r="4" spans="1:26" ht="21.6" customHeight="1" x14ac:dyDescent="0.25">
      <c r="A4" s="215"/>
      <c r="B4" s="218" t="str">
        <f>Portafolio_Cadena_Maíz!C141</f>
        <v>9. Fortalecimiento de la gestión institucional de la cadena de maíz.</v>
      </c>
      <c r="C4" s="219"/>
      <c r="D4" s="220"/>
    </row>
    <row r="5" spans="1:26" ht="26.1" customHeight="1" x14ac:dyDescent="0.2"/>
    <row r="6" spans="1:26" ht="15" x14ac:dyDescent="0.25">
      <c r="E6" s="221">
        <v>1</v>
      </c>
      <c r="F6" s="221">
        <v>2</v>
      </c>
      <c r="G6" s="221">
        <v>3</v>
      </c>
      <c r="H6" s="221">
        <v>4</v>
      </c>
      <c r="I6" s="221">
        <v>5</v>
      </c>
      <c r="J6" s="221">
        <v>6</v>
      </c>
      <c r="K6" s="221">
        <v>7</v>
      </c>
      <c r="L6" s="221">
        <v>8</v>
      </c>
      <c r="M6" s="221">
        <v>9</v>
      </c>
      <c r="N6" s="221">
        <v>10</v>
      </c>
      <c r="O6" s="221">
        <v>11</v>
      </c>
      <c r="P6" s="221">
        <v>12</v>
      </c>
      <c r="Q6" s="221">
        <v>13</v>
      </c>
      <c r="R6" s="221">
        <v>14</v>
      </c>
      <c r="S6" s="221">
        <v>15</v>
      </c>
      <c r="T6" s="221">
        <v>16</v>
      </c>
      <c r="U6" s="221">
        <v>17</v>
      </c>
      <c r="V6" s="221">
        <v>18</v>
      </c>
      <c r="W6" s="221">
        <v>19</v>
      </c>
      <c r="X6" s="221">
        <v>20</v>
      </c>
      <c r="Y6" s="221" t="s">
        <v>32</v>
      </c>
    </row>
    <row r="7" spans="1:26" s="226" customFormat="1" ht="15" x14ac:dyDescent="0.25">
      <c r="A7" s="216"/>
      <c r="B7" s="222" t="s">
        <v>28</v>
      </c>
      <c r="C7" s="223" t="s">
        <v>66</v>
      </c>
      <c r="D7" s="64" t="s">
        <v>160</v>
      </c>
      <c r="E7" s="224">
        <f t="shared" ref="E7" si="0">SUM(E8:E13)</f>
        <v>2881306180</v>
      </c>
      <c r="F7" s="224">
        <f>SUM(F8:F13)</f>
        <v>2504495959.75</v>
      </c>
      <c r="G7" s="224">
        <f t="shared" ref="G7:X7" si="1">SUM(G8:G13)</f>
        <v>675685534</v>
      </c>
      <c r="H7" s="224">
        <f t="shared" si="1"/>
        <v>0</v>
      </c>
      <c r="I7" s="224">
        <f t="shared" si="1"/>
        <v>0</v>
      </c>
      <c r="J7" s="224">
        <f t="shared" si="1"/>
        <v>1547336232.75</v>
      </c>
      <c r="K7" s="224">
        <f t="shared" si="1"/>
        <v>0</v>
      </c>
      <c r="L7" s="224">
        <f t="shared" si="1"/>
        <v>0</v>
      </c>
      <c r="M7" s="224">
        <f>SUM(M8:M13)</f>
        <v>0</v>
      </c>
      <c r="N7" s="224">
        <f t="shared" si="1"/>
        <v>652978695.75</v>
      </c>
      <c r="O7" s="224">
        <f t="shared" si="1"/>
        <v>894357537</v>
      </c>
      <c r="P7" s="224">
        <f t="shared" si="1"/>
        <v>0</v>
      </c>
      <c r="Q7" s="224">
        <f t="shared" si="1"/>
        <v>0</v>
      </c>
      <c r="R7" s="224">
        <f t="shared" si="1"/>
        <v>0</v>
      </c>
      <c r="S7" s="224">
        <f t="shared" si="1"/>
        <v>652978695.75</v>
      </c>
      <c r="T7" s="224">
        <f t="shared" si="1"/>
        <v>894357537</v>
      </c>
      <c r="U7" s="224">
        <f t="shared" si="1"/>
        <v>0</v>
      </c>
      <c r="V7" s="224">
        <f t="shared" si="1"/>
        <v>0</v>
      </c>
      <c r="W7" s="224">
        <f t="shared" si="1"/>
        <v>0</v>
      </c>
      <c r="X7" s="224">
        <f t="shared" si="1"/>
        <v>982697615.75</v>
      </c>
      <c r="Y7" s="224">
        <f>SUM(E7:X7)</f>
        <v>11686193987.75</v>
      </c>
      <c r="Z7" s="225"/>
    </row>
    <row r="8" spans="1:26" s="70" customFormat="1" ht="53.45" customHeight="1" x14ac:dyDescent="0.2">
      <c r="A8" s="67"/>
      <c r="B8" s="68" t="str">
        <f>Portafolio_Cadena_Maíz!D118</f>
        <v>9.1. Fortalecimiento del Sistema de Inspección, Vigilancia y Control para la cadena de maíz.</v>
      </c>
      <c r="C8" s="143" t="s">
        <v>249</v>
      </c>
      <c r="D8" s="113" t="s">
        <v>185</v>
      </c>
      <c r="E8" s="144">
        <f>I48*9</f>
        <v>881873797.5</v>
      </c>
      <c r="F8" s="69">
        <f>+H48</f>
        <v>1175831730</v>
      </c>
      <c r="G8" s="113" t="s">
        <v>250</v>
      </c>
      <c r="H8" s="113" t="s">
        <v>250</v>
      </c>
      <c r="I8" s="113" t="s">
        <v>250</v>
      </c>
      <c r="J8" s="113" t="s">
        <v>250</v>
      </c>
      <c r="K8" s="113" t="s">
        <v>250</v>
      </c>
      <c r="L8" s="113" t="s">
        <v>250</v>
      </c>
      <c r="M8" s="113" t="s">
        <v>250</v>
      </c>
      <c r="N8" s="113" t="s">
        <v>250</v>
      </c>
      <c r="O8" s="113" t="s">
        <v>250</v>
      </c>
      <c r="P8" s="113" t="str">
        <f>K8</f>
        <v xml:space="preserve">Por definir </v>
      </c>
      <c r="Q8" s="113" t="s">
        <v>250</v>
      </c>
      <c r="R8" s="113" t="s">
        <v>250</v>
      </c>
      <c r="S8" s="113" t="s">
        <v>250</v>
      </c>
      <c r="T8" s="113" t="s">
        <v>250</v>
      </c>
      <c r="U8" s="69" t="str">
        <f>P8</f>
        <v xml:space="preserve">Por definir </v>
      </c>
      <c r="V8" s="113" t="s">
        <v>250</v>
      </c>
      <c r="W8" s="113" t="s">
        <v>250</v>
      </c>
      <c r="X8" s="113" t="s">
        <v>250</v>
      </c>
      <c r="Y8" s="69">
        <f>SUM(E8:X8)</f>
        <v>2057705527.5</v>
      </c>
      <c r="Z8" s="225"/>
    </row>
    <row r="9" spans="1:26" s="70" customFormat="1" ht="53.45" customHeight="1" x14ac:dyDescent="0.2">
      <c r="A9" s="67"/>
      <c r="B9" s="68" t="str">
        <f>Portafolio_Cadena_Maíz!D126</f>
        <v>9.2. Diseño y mejora de los instrumentos de financiamiento, comercialización, gestión de riesgos y empresarización para la cadena de maíz.</v>
      </c>
      <c r="C9" s="143" t="s">
        <v>249</v>
      </c>
      <c r="D9" s="113" t="s">
        <v>185</v>
      </c>
      <c r="E9" s="144">
        <f>I73*9</f>
        <v>247289190</v>
      </c>
      <c r="F9" s="113" t="s">
        <v>67</v>
      </c>
      <c r="G9" s="113" t="s">
        <v>250</v>
      </c>
      <c r="H9" s="113" t="s">
        <v>250</v>
      </c>
      <c r="I9" s="113" t="s">
        <v>250</v>
      </c>
      <c r="J9" s="113">
        <f>+H73</f>
        <v>329718920</v>
      </c>
      <c r="K9" s="113"/>
      <c r="L9" s="113"/>
      <c r="M9" s="113"/>
      <c r="N9" s="69"/>
      <c r="O9" s="69">
        <f>+H73</f>
        <v>329718920</v>
      </c>
      <c r="P9" s="69"/>
      <c r="Q9" s="69"/>
      <c r="R9" s="69"/>
      <c r="S9" s="69"/>
      <c r="T9" s="69">
        <f>+H73</f>
        <v>329718920</v>
      </c>
      <c r="U9" s="69"/>
      <c r="V9" s="69"/>
      <c r="W9" s="69"/>
      <c r="X9" s="69">
        <f>+H73</f>
        <v>329718920</v>
      </c>
      <c r="Y9" s="69">
        <f t="shared" ref="Y9:Y13" si="2">SUM(E9:X9)</f>
        <v>1566164870</v>
      </c>
      <c r="Z9" s="225"/>
    </row>
    <row r="10" spans="1:26" s="70" customFormat="1" ht="53.45" customHeight="1" x14ac:dyDescent="0.2">
      <c r="A10" s="67"/>
      <c r="B10" s="68" t="str">
        <f>Portafolio_Cadena_Maíz!D134</f>
        <v>9.3. Fortalecimiento de mecanismos institucionales para el impulso a las inversiones en producción de maíz a mediana y gran escala.</v>
      </c>
      <c r="C10" s="113" t="s">
        <v>249</v>
      </c>
      <c r="D10" s="70" t="s">
        <v>338</v>
      </c>
      <c r="E10" s="144">
        <f>I106*9</f>
        <v>652978695.75</v>
      </c>
      <c r="F10" s="113">
        <f>E10</f>
        <v>652978695.75</v>
      </c>
      <c r="G10" s="113" t="s">
        <v>250</v>
      </c>
      <c r="H10" s="113" t="s">
        <v>250</v>
      </c>
      <c r="I10" s="113" t="s">
        <v>67</v>
      </c>
      <c r="J10" s="113">
        <f>F10</f>
        <v>652978695.75</v>
      </c>
      <c r="K10" s="113" t="str">
        <f>G10</f>
        <v xml:space="preserve">Por definir </v>
      </c>
      <c r="L10" s="113" t="s">
        <v>67</v>
      </c>
      <c r="M10" s="113" t="s">
        <v>250</v>
      </c>
      <c r="N10" s="69">
        <f>J10</f>
        <v>652978695.75</v>
      </c>
      <c r="O10" s="69" t="str">
        <f>K10</f>
        <v xml:space="preserve">Por definir </v>
      </c>
      <c r="P10" s="69" t="s">
        <v>250</v>
      </c>
      <c r="Q10" s="69" t="s">
        <v>250</v>
      </c>
      <c r="R10" s="69" t="s">
        <v>67</v>
      </c>
      <c r="S10" s="69">
        <f>N10</f>
        <v>652978695.75</v>
      </c>
      <c r="T10" s="69" t="str">
        <f>O10</f>
        <v xml:space="preserve">Por definir </v>
      </c>
      <c r="U10" s="69" t="s">
        <v>67</v>
      </c>
      <c r="V10" s="69" t="s">
        <v>250</v>
      </c>
      <c r="W10" s="69" t="s">
        <v>250</v>
      </c>
      <c r="X10" s="69">
        <f>S10</f>
        <v>652978695.75</v>
      </c>
      <c r="Y10" s="69">
        <f t="shared" si="2"/>
        <v>3917872174.5</v>
      </c>
      <c r="Z10" s="225"/>
    </row>
    <row r="11" spans="1:26" s="70" customFormat="1" ht="53.45" customHeight="1" x14ac:dyDescent="0.2">
      <c r="A11" s="67"/>
      <c r="B11" s="68" t="str">
        <f>Portafolio_Cadena_Maíz!D141</f>
        <v>9.4. Diseño y operación del Sistema nacional de Información para la cadena de maíz.</v>
      </c>
      <c r="C11" s="143" t="s">
        <v>249</v>
      </c>
      <c r="D11" s="113" t="s">
        <v>185</v>
      </c>
      <c r="E11" s="144">
        <f>I129*9</f>
        <v>423478962.75</v>
      </c>
      <c r="F11" s="69" t="s">
        <v>67</v>
      </c>
      <c r="G11" s="69" t="s">
        <v>250</v>
      </c>
      <c r="H11" s="113" t="s">
        <v>250</v>
      </c>
      <c r="I11" s="113" t="s">
        <v>67</v>
      </c>
      <c r="J11" s="113">
        <f>+H129</f>
        <v>564638617</v>
      </c>
      <c r="K11" s="113" t="s">
        <v>250</v>
      </c>
      <c r="L11" s="113" t="s">
        <v>67</v>
      </c>
      <c r="M11" s="113" t="s">
        <v>250</v>
      </c>
      <c r="N11" s="113" t="s">
        <v>250</v>
      </c>
      <c r="O11" s="113">
        <f>+H129</f>
        <v>564638617</v>
      </c>
      <c r="P11" s="113" t="s">
        <v>250</v>
      </c>
      <c r="Q11" s="113" t="s">
        <v>250</v>
      </c>
      <c r="R11" s="113" t="s">
        <v>67</v>
      </c>
      <c r="S11" s="113" t="s">
        <v>250</v>
      </c>
      <c r="T11" s="113">
        <f>+H129</f>
        <v>564638617</v>
      </c>
      <c r="U11" s="113" t="s">
        <v>67</v>
      </c>
      <c r="V11" s="113" t="s">
        <v>250</v>
      </c>
      <c r="W11" s="113" t="s">
        <v>250</v>
      </c>
      <c r="X11" s="113" t="s">
        <v>250</v>
      </c>
      <c r="Y11" s="69">
        <f t="shared" si="2"/>
        <v>2117394813.75</v>
      </c>
      <c r="Z11" s="225"/>
    </row>
    <row r="12" spans="1:26" s="70" customFormat="1" ht="53.45" customHeight="1" x14ac:dyDescent="0.2">
      <c r="A12" s="67"/>
      <c r="B12" s="68" t="str">
        <f>Portafolio_Cadena_Maíz!D145</f>
        <v>9.5. Constitución y fortalecimiento de la Organización de Cadena de maíz.</v>
      </c>
      <c r="C12" s="143" t="s">
        <v>251</v>
      </c>
      <c r="D12" s="113" t="s">
        <v>185</v>
      </c>
      <c r="E12" s="144">
        <f>+H151</f>
        <v>320314491</v>
      </c>
      <c r="F12" s="69">
        <f>+H151</f>
        <v>320314491</v>
      </c>
      <c r="G12" s="69">
        <f>+H151</f>
        <v>320314491</v>
      </c>
      <c r="H12" s="113" t="s">
        <v>250</v>
      </c>
      <c r="I12" s="113" t="s">
        <v>250</v>
      </c>
      <c r="J12" s="113" t="s">
        <v>250</v>
      </c>
      <c r="K12" s="113" t="s">
        <v>250</v>
      </c>
      <c r="L12" s="113" t="s">
        <v>250</v>
      </c>
      <c r="M12" s="113" t="s">
        <v>250</v>
      </c>
      <c r="N12" s="113" t="s">
        <v>250</v>
      </c>
      <c r="O12" s="113" t="s">
        <v>250</v>
      </c>
      <c r="P12" s="113" t="s">
        <v>250</v>
      </c>
      <c r="Q12" s="113" t="s">
        <v>250</v>
      </c>
      <c r="R12" s="113" t="s">
        <v>250</v>
      </c>
      <c r="S12" s="113" t="s">
        <v>250</v>
      </c>
      <c r="T12" s="113" t="s">
        <v>250</v>
      </c>
      <c r="U12" s="113" t="s">
        <v>250</v>
      </c>
      <c r="V12" s="113" t="s">
        <v>250</v>
      </c>
      <c r="W12" s="113" t="s">
        <v>250</v>
      </c>
      <c r="X12" s="113" t="s">
        <v>250</v>
      </c>
      <c r="Y12" s="69">
        <f t="shared" si="2"/>
        <v>960943473</v>
      </c>
      <c r="Z12" s="225"/>
    </row>
    <row r="13" spans="1:26" s="70" customFormat="1" ht="42.95" customHeight="1" x14ac:dyDescent="0.2">
      <c r="A13" s="67"/>
      <c r="B13" s="68" t="str">
        <f>Portafolio_Cadena_Maíz!D150</f>
        <v>9.6. Adopción, promoción y monitoreo de la política pública para la cadena de maíz.</v>
      </c>
      <c r="C13" s="143" t="s">
        <v>251</v>
      </c>
      <c r="D13" s="113" t="s">
        <v>185</v>
      </c>
      <c r="E13" s="145">
        <f>+H176</f>
        <v>355371043</v>
      </c>
      <c r="F13" s="69">
        <f>+H176</f>
        <v>355371043</v>
      </c>
      <c r="G13" s="69">
        <f>+H176</f>
        <v>355371043</v>
      </c>
      <c r="H13" s="113" t="s">
        <v>250</v>
      </c>
      <c r="I13" s="113" t="s">
        <v>250</v>
      </c>
      <c r="J13" s="113" t="s">
        <v>250</v>
      </c>
      <c r="K13" s="113" t="s">
        <v>250</v>
      </c>
      <c r="L13" s="113" t="s">
        <v>250</v>
      </c>
      <c r="M13" s="113" t="s">
        <v>250</v>
      </c>
      <c r="N13" s="113" t="s">
        <v>250</v>
      </c>
      <c r="O13" s="113" t="s">
        <v>250</v>
      </c>
      <c r="P13" s="113" t="s">
        <v>250</v>
      </c>
      <c r="Q13" s="113" t="s">
        <v>250</v>
      </c>
      <c r="R13" s="113" t="s">
        <v>250</v>
      </c>
      <c r="S13" s="113" t="s">
        <v>250</v>
      </c>
      <c r="T13" s="113" t="s">
        <v>250</v>
      </c>
      <c r="U13" s="113" t="s">
        <v>250</v>
      </c>
      <c r="V13" s="113" t="s">
        <v>250</v>
      </c>
      <c r="W13" s="113" t="s">
        <v>250</v>
      </c>
      <c r="X13" s="113" t="s">
        <v>250</v>
      </c>
      <c r="Y13" s="69">
        <f t="shared" si="2"/>
        <v>1066113129</v>
      </c>
      <c r="Z13" s="225"/>
    </row>
    <row r="14" spans="1:26" s="226" customFormat="1" ht="24.6" customHeight="1" x14ac:dyDescent="0.25">
      <c r="A14" s="216"/>
      <c r="B14" s="222" t="s">
        <v>32</v>
      </c>
      <c r="C14" s="222"/>
      <c r="D14" s="222"/>
      <c r="E14" s="227">
        <f>SUM(E8:E13)</f>
        <v>2881306180</v>
      </c>
      <c r="F14" s="227">
        <f t="shared" ref="F14:X14" si="3">SUM(F8:F13)</f>
        <v>2504495959.75</v>
      </c>
      <c r="G14" s="227">
        <f t="shared" si="3"/>
        <v>675685534</v>
      </c>
      <c r="H14" s="227">
        <f t="shared" si="3"/>
        <v>0</v>
      </c>
      <c r="I14" s="227">
        <f t="shared" si="3"/>
        <v>0</v>
      </c>
      <c r="J14" s="227">
        <f t="shared" si="3"/>
        <v>1547336232.75</v>
      </c>
      <c r="K14" s="227">
        <f t="shared" si="3"/>
        <v>0</v>
      </c>
      <c r="L14" s="227">
        <f t="shared" si="3"/>
        <v>0</v>
      </c>
      <c r="M14" s="227">
        <f t="shared" si="3"/>
        <v>0</v>
      </c>
      <c r="N14" s="227">
        <f t="shared" si="3"/>
        <v>652978695.75</v>
      </c>
      <c r="O14" s="227">
        <f t="shared" si="3"/>
        <v>894357537</v>
      </c>
      <c r="P14" s="227">
        <f t="shared" si="3"/>
        <v>0</v>
      </c>
      <c r="Q14" s="227">
        <f t="shared" si="3"/>
        <v>0</v>
      </c>
      <c r="R14" s="227">
        <f t="shared" si="3"/>
        <v>0</v>
      </c>
      <c r="S14" s="227">
        <f t="shared" si="3"/>
        <v>652978695.75</v>
      </c>
      <c r="T14" s="227">
        <f t="shared" si="3"/>
        <v>894357537</v>
      </c>
      <c r="U14" s="227">
        <f t="shared" si="3"/>
        <v>0</v>
      </c>
      <c r="V14" s="227">
        <f t="shared" si="3"/>
        <v>0</v>
      </c>
      <c r="W14" s="227">
        <f t="shared" si="3"/>
        <v>0</v>
      </c>
      <c r="X14" s="227">
        <f t="shared" si="3"/>
        <v>982697615.75</v>
      </c>
      <c r="Y14" s="227">
        <f>SUM(Y8:Y13)</f>
        <v>11686193987.75</v>
      </c>
      <c r="Z14" s="225"/>
    </row>
    <row r="15" spans="1:26" s="231" customFormat="1" ht="24.6" customHeight="1" x14ac:dyDescent="0.25">
      <c r="A15" s="67"/>
      <c r="B15" s="228"/>
      <c r="C15" s="228"/>
      <c r="D15" s="228"/>
      <c r="E15" s="228"/>
      <c r="F15" s="229"/>
      <c r="G15" s="230"/>
      <c r="H15" s="229"/>
      <c r="I15" s="229"/>
      <c r="J15" s="229"/>
      <c r="K15" s="229"/>
      <c r="L15" s="229"/>
      <c r="M15" s="229"/>
      <c r="N15" s="229"/>
      <c r="O15" s="229"/>
      <c r="P15" s="229"/>
      <c r="Q15" s="229"/>
      <c r="R15" s="229"/>
      <c r="S15" s="229"/>
      <c r="T15" s="229"/>
      <c r="U15" s="229"/>
      <c r="V15" s="229"/>
      <c r="W15" s="229"/>
      <c r="X15" s="229"/>
      <c r="Y15" s="229"/>
      <c r="Z15" s="229"/>
    </row>
    <row r="17" spans="2:24" s="67" customFormat="1" ht="14.45" customHeight="1" x14ac:dyDescent="0.25">
      <c r="B17" s="865" t="str">
        <f>B8</f>
        <v>9.1. Fortalecimiento del Sistema de Inspección, Vigilancia y Control para la cadena de maíz.</v>
      </c>
      <c r="C17" s="866"/>
      <c r="D17" s="866"/>
      <c r="E17" s="866"/>
      <c r="F17" s="866"/>
      <c r="G17" s="866"/>
      <c r="H17" s="866"/>
      <c r="I17" s="232"/>
      <c r="X17" s="233"/>
    </row>
    <row r="18" spans="2:24" s="67" customFormat="1" ht="14.45" customHeight="1" x14ac:dyDescent="0.25">
      <c r="B18" s="866"/>
      <c r="C18" s="866"/>
      <c r="D18" s="866"/>
      <c r="E18" s="866"/>
      <c r="F18" s="866"/>
      <c r="G18" s="866"/>
      <c r="H18" s="866"/>
      <c r="I18" s="232"/>
      <c r="X18" s="233"/>
    </row>
    <row r="19" spans="2:24" s="102" customFormat="1" ht="27.6" customHeight="1" x14ac:dyDescent="0.25">
      <c r="B19" s="854" t="str">
        <f>Portafolio_Cadena_Maíz!H118</f>
        <v>9.1.1. Identificar las necesidades en aspectos técnicos, humanos, físicos y presupuestales, para el fortalecimiento de las autoridades sanitarias, en concordancia con los resultados esperados en materia de sanidad e inocuidad, del POP para la cadena de maíz.</v>
      </c>
      <c r="C19" s="855"/>
      <c r="D19" s="855"/>
      <c r="E19" s="855"/>
      <c r="F19" s="855"/>
      <c r="G19" s="855"/>
      <c r="H19" s="855"/>
      <c r="I19" s="414"/>
      <c r="X19" s="77"/>
    </row>
    <row r="20" spans="2:24" s="102" customFormat="1" ht="14.45" customHeight="1" x14ac:dyDescent="0.25">
      <c r="B20" s="854" t="str">
        <f>Portafolio_Cadena_Maíz!H119</f>
        <v>9.1.2. Actualizar el plan estratégico de las autoridades sanitarias y de inocuidad, considerando las necesidades y particularidades regionales de la cadena de maíz y en concordancia con la normatividad vigente.</v>
      </c>
      <c r="C20" s="855"/>
      <c r="D20" s="855"/>
      <c r="E20" s="855"/>
      <c r="F20" s="855"/>
      <c r="G20" s="855"/>
      <c r="H20" s="855"/>
      <c r="I20" s="414"/>
      <c r="X20" s="77"/>
    </row>
    <row r="21" spans="2:24" s="102" customFormat="1" ht="38.1" customHeight="1" x14ac:dyDescent="0.25">
      <c r="B21" s="854" t="str">
        <f>Portafolio_Cadena_Maíz!H120</f>
        <v>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v>
      </c>
      <c r="C21" s="855"/>
      <c r="D21" s="855"/>
      <c r="E21" s="855"/>
      <c r="F21" s="855"/>
      <c r="G21" s="855"/>
      <c r="H21" s="855"/>
      <c r="I21" s="414"/>
      <c r="X21" s="77"/>
    </row>
    <row r="22" spans="2:24" s="101" customFormat="1" ht="27.95" customHeight="1" x14ac:dyDescent="0.25">
      <c r="B22" s="854" t="str">
        <f>Portafolio_Cadena_Maíz!H121</f>
        <v>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v>
      </c>
      <c r="C22" s="855"/>
      <c r="D22" s="855"/>
      <c r="E22" s="855"/>
      <c r="F22" s="855"/>
      <c r="G22" s="855"/>
      <c r="H22" s="855"/>
    </row>
    <row r="23" spans="2:24" s="101" customFormat="1" ht="30" customHeight="1" x14ac:dyDescent="0.25">
      <c r="B23" s="854" t="str">
        <f>Portafolio_Cadena_Maíz!H122</f>
        <v>9.1.5. Fortalecer el control de calidad e inocuidad y la identificación de riesgos sanitarios en la cadena del maíz, a través de la consolidación de una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v>
      </c>
      <c r="C23" s="855"/>
      <c r="D23" s="855"/>
      <c r="E23" s="855"/>
      <c r="F23" s="855"/>
      <c r="G23" s="855"/>
      <c r="H23" s="855"/>
    </row>
    <row r="24" spans="2:24" s="101" customFormat="1" ht="31.5" customHeight="1" x14ac:dyDescent="0.25">
      <c r="B24" s="854" t="str">
        <f>Portafolio_Cadena_Maíz!H123</f>
        <v>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v>
      </c>
      <c r="C24" s="855"/>
      <c r="D24" s="855"/>
      <c r="E24" s="855"/>
      <c r="F24" s="855"/>
      <c r="G24" s="855"/>
      <c r="H24" s="855"/>
    </row>
    <row r="25" spans="2:24" s="101" customFormat="1" ht="15" x14ac:dyDescent="0.25">
      <c r="B25" s="854" t="str">
        <f>Portafolio_Cadena_Maíz!H124</f>
        <v xml:space="preserve">9.1.7. Diseñar e implementar una estrategia de comunicación y divulgación de la normatividad del sistema IVC con acompañamiento técnico por parte de las entidades de IVC, dirigida a los diferentes actores a lo largo de la cadena. </v>
      </c>
      <c r="C25" s="855"/>
      <c r="D25" s="855"/>
      <c r="E25" s="855"/>
      <c r="F25" s="855"/>
      <c r="G25" s="855"/>
      <c r="H25" s="855"/>
    </row>
    <row r="26" spans="2:24" s="101" customFormat="1" ht="15" x14ac:dyDescent="0.25">
      <c r="B26" s="854" t="str">
        <f>Portafolio_Cadena_Maíz!H125</f>
        <v>9.1.8. Realizar el seguimiento y monitoreo del fortalecimiento del sistema IVC.</v>
      </c>
      <c r="C26" s="855"/>
      <c r="D26" s="855"/>
      <c r="E26" s="855"/>
      <c r="F26" s="855"/>
      <c r="G26" s="855"/>
      <c r="H26" s="855"/>
    </row>
    <row r="27" spans="2:24" s="101" customFormat="1" ht="15" x14ac:dyDescent="0.25">
      <c r="B27" s="854"/>
      <c r="C27" s="855"/>
      <c r="D27" s="855"/>
      <c r="E27" s="855"/>
      <c r="F27" s="855"/>
      <c r="G27" s="855"/>
      <c r="H27" s="855"/>
    </row>
    <row r="28" spans="2:24" s="101" customFormat="1" ht="15" x14ac:dyDescent="0.25">
      <c r="B28" s="396"/>
      <c r="C28" s="415"/>
      <c r="D28" s="415"/>
      <c r="E28" s="415"/>
      <c r="F28" s="415"/>
      <c r="G28" s="415"/>
      <c r="H28" s="415"/>
    </row>
    <row r="29" spans="2:24" s="101" customFormat="1" ht="15" x14ac:dyDescent="0.25">
      <c r="B29" s="858" t="s">
        <v>595</v>
      </c>
      <c r="C29" s="859"/>
      <c r="D29" s="859"/>
      <c r="E29" s="859"/>
      <c r="F29" s="859"/>
      <c r="G29" s="859"/>
      <c r="H29" s="859"/>
    </row>
    <row r="30" spans="2:24" ht="15" x14ac:dyDescent="0.25">
      <c r="B30" s="234" t="s">
        <v>68</v>
      </c>
      <c r="C30" s="234" t="s">
        <v>58</v>
      </c>
      <c r="D30" s="234" t="s">
        <v>55</v>
      </c>
      <c r="E30" s="234" t="s">
        <v>54</v>
      </c>
      <c r="F30" s="235" t="s">
        <v>96</v>
      </c>
      <c r="G30" s="234" t="s">
        <v>70</v>
      </c>
      <c r="H30" s="234" t="s">
        <v>71</v>
      </c>
      <c r="X30" s="236"/>
    </row>
    <row r="31" spans="2:24" x14ac:dyDescent="0.2">
      <c r="B31" s="104" t="s">
        <v>252</v>
      </c>
      <c r="C31" s="237">
        <v>8</v>
      </c>
      <c r="D31" s="238" t="s">
        <v>253</v>
      </c>
      <c r="E31" s="239">
        <v>2300000</v>
      </c>
      <c r="F31" s="237"/>
      <c r="G31" s="237"/>
      <c r="H31" s="239">
        <f>+C31*E31</f>
        <v>18400000</v>
      </c>
      <c r="J31" s="361"/>
    </row>
    <row r="32" spans="2:24" x14ac:dyDescent="0.2">
      <c r="B32" s="104" t="s">
        <v>147</v>
      </c>
      <c r="C32" s="107">
        <v>19</v>
      </c>
      <c r="D32" s="238" t="s">
        <v>253</v>
      </c>
      <c r="E32" s="239">
        <v>460000</v>
      </c>
      <c r="F32" s="237"/>
      <c r="G32" s="237"/>
      <c r="H32" s="239">
        <f t="shared" ref="H32:H38" si="4">+C32*E32</f>
        <v>8740000</v>
      </c>
      <c r="I32" s="67"/>
      <c r="J32" s="361"/>
    </row>
    <row r="33" spans="2:10" x14ac:dyDescent="0.2">
      <c r="B33" s="104" t="s">
        <v>217</v>
      </c>
      <c r="C33" s="107">
        <f>19*2</f>
        <v>38</v>
      </c>
      <c r="D33" s="238" t="s">
        <v>253</v>
      </c>
      <c r="E33" s="239">
        <v>100000</v>
      </c>
      <c r="F33" s="237"/>
      <c r="G33" s="237"/>
      <c r="H33" s="239">
        <f t="shared" si="4"/>
        <v>3800000</v>
      </c>
      <c r="I33" s="67"/>
      <c r="J33" s="361"/>
    </row>
    <row r="34" spans="2:10" x14ac:dyDescent="0.2">
      <c r="B34" s="104" t="s">
        <v>72</v>
      </c>
      <c r="C34" s="107">
        <v>7</v>
      </c>
      <c r="D34" s="238" t="s">
        <v>253</v>
      </c>
      <c r="E34" s="239">
        <v>500000</v>
      </c>
      <c r="F34" s="237"/>
      <c r="G34" s="237"/>
      <c r="H34" s="239">
        <f t="shared" si="4"/>
        <v>3500000</v>
      </c>
      <c r="I34" s="67"/>
      <c r="J34" s="361"/>
    </row>
    <row r="35" spans="2:10" x14ac:dyDescent="0.2">
      <c r="B35" s="104" t="s">
        <v>254</v>
      </c>
      <c r="C35" s="107">
        <v>1</v>
      </c>
      <c r="D35" s="238" t="s">
        <v>253</v>
      </c>
      <c r="E35" s="240">
        <v>142800000</v>
      </c>
      <c r="F35" s="237"/>
      <c r="G35" s="237"/>
      <c r="H35" s="239">
        <f t="shared" si="4"/>
        <v>142800000</v>
      </c>
      <c r="I35" s="67"/>
      <c r="J35" s="361"/>
    </row>
    <row r="36" spans="2:10" x14ac:dyDescent="0.2">
      <c r="B36" s="104" t="s">
        <v>321</v>
      </c>
      <c r="C36" s="107">
        <v>19</v>
      </c>
      <c r="D36" s="238" t="s">
        <v>253</v>
      </c>
      <c r="E36" s="239">
        <v>14500000</v>
      </c>
      <c r="F36" s="237"/>
      <c r="G36" s="237"/>
      <c r="H36" s="239">
        <f t="shared" si="4"/>
        <v>275500000</v>
      </c>
      <c r="I36" s="67"/>
      <c r="J36" s="362"/>
    </row>
    <row r="37" spans="2:10" x14ac:dyDescent="0.2">
      <c r="B37" s="104" t="s">
        <v>320</v>
      </c>
      <c r="C37" s="107">
        <v>1</v>
      </c>
      <c r="D37" s="238" t="s">
        <v>73</v>
      </c>
      <c r="E37" s="239">
        <v>1800000</v>
      </c>
      <c r="F37" s="237"/>
      <c r="G37" s="237"/>
      <c r="H37" s="239">
        <f t="shared" si="4"/>
        <v>1800000</v>
      </c>
      <c r="I37" s="67"/>
      <c r="J37" s="361"/>
    </row>
    <row r="38" spans="2:10" x14ac:dyDescent="0.2">
      <c r="B38" s="104" t="s">
        <v>289</v>
      </c>
      <c r="C38" s="107">
        <v>1</v>
      </c>
      <c r="D38" s="238" t="s">
        <v>73</v>
      </c>
      <c r="E38" s="239">
        <v>3381852</v>
      </c>
      <c r="F38" s="237"/>
      <c r="G38" s="237"/>
      <c r="H38" s="239">
        <f t="shared" si="4"/>
        <v>3381852</v>
      </c>
      <c r="I38" s="67"/>
      <c r="J38" s="361"/>
    </row>
    <row r="39" spans="2:10" x14ac:dyDescent="0.2">
      <c r="B39" s="104" t="s">
        <v>197</v>
      </c>
      <c r="C39" s="241">
        <v>3</v>
      </c>
      <c r="D39" s="242" t="s">
        <v>255</v>
      </c>
      <c r="E39" s="243">
        <v>7862772</v>
      </c>
      <c r="F39" s="244"/>
      <c r="G39" s="241">
        <v>12</v>
      </c>
      <c r="H39" s="239">
        <f>+C39*E39*G39</f>
        <v>283059792</v>
      </c>
      <c r="I39" s="67"/>
      <c r="J39" s="362"/>
    </row>
    <row r="40" spans="2:10" x14ac:dyDescent="0.2">
      <c r="B40" s="104" t="s">
        <v>256</v>
      </c>
      <c r="C40" s="241">
        <v>3</v>
      </c>
      <c r="D40" s="242" t="s">
        <v>255</v>
      </c>
      <c r="E40" s="243">
        <v>1313122</v>
      </c>
      <c r="F40" s="244"/>
      <c r="G40" s="241"/>
      <c r="H40" s="245">
        <f>+E40*C40</f>
        <v>3939366</v>
      </c>
      <c r="I40" s="67"/>
      <c r="J40" s="362"/>
    </row>
    <row r="41" spans="2:10" x14ac:dyDescent="0.2">
      <c r="B41" s="104" t="s">
        <v>257</v>
      </c>
      <c r="C41" s="241">
        <v>10</v>
      </c>
      <c r="D41" s="242" t="s">
        <v>255</v>
      </c>
      <c r="E41" s="243">
        <v>3931384</v>
      </c>
      <c r="F41" s="244"/>
      <c r="G41" s="241">
        <v>8</v>
      </c>
      <c r="H41" s="245">
        <f>C41*E41*G41</f>
        <v>314510720</v>
      </c>
      <c r="I41" s="246"/>
      <c r="J41" s="362"/>
    </row>
    <row r="42" spans="2:10" x14ac:dyDescent="0.2">
      <c r="B42" s="104" t="s">
        <v>56</v>
      </c>
      <c r="C42" s="241">
        <v>10</v>
      </c>
      <c r="D42" s="242" t="s">
        <v>255</v>
      </c>
      <c r="E42" s="243">
        <v>1300000</v>
      </c>
      <c r="F42" s="244"/>
      <c r="G42" s="241">
        <v>8</v>
      </c>
      <c r="H42" s="245">
        <f>C42*E42*G42</f>
        <v>104000000</v>
      </c>
      <c r="I42" s="246"/>
      <c r="J42" s="362"/>
    </row>
    <row r="43" spans="2:10" x14ac:dyDescent="0.2">
      <c r="B43" s="104" t="s">
        <v>178</v>
      </c>
      <c r="C43" s="241">
        <v>10</v>
      </c>
      <c r="D43" s="242" t="s">
        <v>73</v>
      </c>
      <c r="E43" s="243">
        <v>155000</v>
      </c>
      <c r="F43" s="247"/>
      <c r="G43" s="241">
        <v>8</v>
      </c>
      <c r="H43" s="245">
        <f>C43*E43*G43</f>
        <v>12400000</v>
      </c>
      <c r="I43" s="246"/>
      <c r="J43" s="362"/>
    </row>
    <row r="44" spans="2:10" x14ac:dyDescent="0.2">
      <c r="B44" s="104" t="s">
        <v>323</v>
      </c>
      <c r="C44" s="107"/>
      <c r="D44" s="107"/>
      <c r="E44" s="81"/>
      <c r="F44" s="104"/>
      <c r="G44" s="104"/>
      <c r="H44" s="81" t="s">
        <v>250</v>
      </c>
      <c r="I44" s="248"/>
      <c r="J44" s="361"/>
    </row>
    <row r="45" spans="2:10" x14ac:dyDescent="0.2">
      <c r="B45" s="104" t="s">
        <v>330</v>
      </c>
      <c r="C45" s="107"/>
      <c r="D45" s="107"/>
      <c r="E45" s="81"/>
      <c r="F45" s="104"/>
      <c r="G45" s="104"/>
      <c r="H45" s="81" t="s">
        <v>250</v>
      </c>
      <c r="I45" s="246"/>
      <c r="J45" s="361"/>
    </row>
    <row r="46" spans="2:10" x14ac:dyDescent="0.2">
      <c r="B46" s="104" t="s">
        <v>322</v>
      </c>
      <c r="C46" s="107"/>
      <c r="D46" s="238"/>
      <c r="E46" s="239"/>
      <c r="F46" s="366"/>
      <c r="G46" s="237"/>
      <c r="H46" s="239" t="s">
        <v>250</v>
      </c>
      <c r="I46" s="67"/>
      <c r="J46" s="362"/>
    </row>
    <row r="47" spans="2:10" ht="15" x14ac:dyDescent="0.25">
      <c r="B47" s="104"/>
      <c r="C47" s="107"/>
      <c r="D47" s="107"/>
      <c r="E47" s="81"/>
      <c r="F47" s="104"/>
      <c r="G47" s="104"/>
      <c r="H47" s="81"/>
      <c r="I47" s="252" t="s">
        <v>159</v>
      </c>
      <c r="J47" s="361"/>
    </row>
    <row r="48" spans="2:10" ht="15" x14ac:dyDescent="0.25">
      <c r="B48" s="249" t="s">
        <v>399</v>
      </c>
      <c r="C48" s="250"/>
      <c r="D48" s="250"/>
      <c r="E48" s="250"/>
      <c r="F48" s="251"/>
      <c r="G48" s="251"/>
      <c r="H48" s="252">
        <f>SUM(H31:H45)</f>
        <v>1175831730</v>
      </c>
      <c r="I48" s="252">
        <f>H48/12</f>
        <v>97985977.5</v>
      </c>
      <c r="J48" s="362"/>
    </row>
    <row r="49" spans="2:24" s="67" customFormat="1" ht="242.25" x14ac:dyDescent="0.2">
      <c r="B49" s="254" t="s">
        <v>405</v>
      </c>
      <c r="C49" s="255"/>
      <c r="D49" s="255"/>
      <c r="E49" s="255"/>
      <c r="F49" s="255"/>
      <c r="G49" s="255"/>
      <c r="H49" s="255"/>
    </row>
    <row r="50" spans="2:24" ht="15" x14ac:dyDescent="0.25">
      <c r="B50" s="256"/>
      <c r="C50" s="256"/>
      <c r="D50" s="256"/>
      <c r="E50" s="256"/>
      <c r="F50" s="256"/>
      <c r="G50" s="256"/>
      <c r="H50" s="256"/>
      <c r="I50" s="257"/>
    </row>
    <row r="51" spans="2:24" ht="15" x14ac:dyDescent="0.25">
      <c r="B51" s="256"/>
      <c r="C51" s="256"/>
      <c r="D51" s="256"/>
      <c r="E51" s="256"/>
      <c r="F51" s="256"/>
      <c r="G51" s="256"/>
      <c r="H51" s="256"/>
      <c r="I51" s="257"/>
    </row>
    <row r="52" spans="2:24" s="67" customFormat="1" ht="14.45" customHeight="1" x14ac:dyDescent="0.25">
      <c r="B52" s="867" t="str">
        <f>+B9</f>
        <v>9.2. Diseño y mejora de los instrumentos de financiamiento, comercialización, gestión de riesgos y empresarización para la cadena de maíz.</v>
      </c>
      <c r="C52" s="868"/>
      <c r="D52" s="868"/>
      <c r="E52" s="868"/>
      <c r="F52" s="868"/>
      <c r="G52" s="868"/>
      <c r="H52" s="868"/>
    </row>
    <row r="53" spans="2:24" hidden="1" x14ac:dyDescent="0.2">
      <c r="B53" s="256"/>
      <c r="C53" s="256"/>
      <c r="D53" s="256"/>
      <c r="E53" s="256"/>
      <c r="F53" s="256"/>
      <c r="G53" s="256"/>
      <c r="H53" s="256"/>
    </row>
    <row r="54" spans="2:24" s="102" customFormat="1" ht="27.6" customHeight="1" x14ac:dyDescent="0.25">
      <c r="B54" s="854" t="str">
        <f>Portafolio_Cadena_Maíz!H126</f>
        <v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v>
      </c>
      <c r="C54" s="855"/>
      <c r="D54" s="855"/>
      <c r="E54" s="855"/>
      <c r="F54" s="855"/>
      <c r="G54" s="855"/>
      <c r="H54" s="855"/>
      <c r="I54" s="414"/>
      <c r="X54" s="77"/>
    </row>
    <row r="55" spans="2:24" s="102" customFormat="1" ht="33" customHeight="1" x14ac:dyDescent="0.25">
      <c r="B55" s="854" t="str">
        <f>Portafolio_Cadena_Maíz!H127</f>
        <v>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v>
      </c>
      <c r="C55" s="855"/>
      <c r="D55" s="855"/>
      <c r="E55" s="855"/>
      <c r="F55" s="855"/>
      <c r="G55" s="855"/>
      <c r="H55" s="855"/>
      <c r="I55" s="414"/>
      <c r="X55" s="77"/>
    </row>
    <row r="56" spans="2:24" s="102" customFormat="1" ht="33" customHeight="1" x14ac:dyDescent="0.25">
      <c r="B56" s="854" t="str">
        <f>Portafolio_Cadena_Maíz!H128</f>
        <v>9.2.3. Diseñar y/o mejorar programas que permitan la inclusión financiera de pequeños y medianos productores de maíz y MiPymes relacionadas con la cadena, que redunden en la mejora en el acceso y cobertura tanto al crédito de fomento como al formal.</v>
      </c>
      <c r="C56" s="855"/>
      <c r="D56" s="855"/>
      <c r="E56" s="855"/>
      <c r="F56" s="855"/>
      <c r="G56" s="855"/>
      <c r="H56" s="855"/>
      <c r="I56" s="414"/>
      <c r="X56" s="77"/>
    </row>
    <row r="57" spans="2:24" s="101" customFormat="1" ht="14.45" customHeight="1" x14ac:dyDescent="0.25">
      <c r="B57" s="854" t="str">
        <f>Portafolio_Cadena_Maíz!H129</f>
        <v xml:space="preserve">9.2.4. Diseñar y/o mejorar las normas técnicas para la comercialización de maíz, acorde con los estándares internacionales, que determinan la clase, el tipo y el grado, así como promover su aplicación entre los actores de la cadena. </v>
      </c>
      <c r="C57" s="855"/>
      <c r="D57" s="855"/>
      <c r="E57" s="855"/>
      <c r="F57" s="855"/>
      <c r="G57" s="855"/>
      <c r="H57" s="855"/>
    </row>
    <row r="58" spans="2:24" s="101" customFormat="1" ht="27.95" customHeight="1" x14ac:dyDescent="0.25">
      <c r="B58" s="854" t="str">
        <f>Portafolio_Cadena_Maíz!H130</f>
        <v>9.2.5. Diseñar y/o mejorar instrumentos de comercialización y financiación no bancaria a lo largo de la cadena maicera, tales como contratos con entrega a término, con anticipo financiero y garantía FAG, repos, valoración de activos biológicos, entre otros.</v>
      </c>
      <c r="C58" s="855"/>
      <c r="D58" s="855"/>
      <c r="E58" s="855"/>
      <c r="F58" s="855"/>
      <c r="G58" s="855"/>
      <c r="H58" s="855"/>
    </row>
    <row r="59" spans="2:24" s="101" customFormat="1" ht="34.5" customHeight="1" x14ac:dyDescent="0.25">
      <c r="B59" s="854" t="str">
        <f>Portafolio_Cadena_Maíz!H131</f>
        <v xml:space="preserve">9.2.6. Evaluar, adaptar, mejorar y/o profundizar los instrumentos, bien sea que ya existan en el país o no, pero que son ampliamente utilizados en otros países, para la gestión de riesgos climáticos y de mercados, fortaleciendo e incrementando el uso de seguros agrícolas, los contratos de futuro y las coberturas de precios y tasa de cambio, entre otros, relacionados con la cadena de maíz. </v>
      </c>
      <c r="C59" s="855"/>
      <c r="D59" s="855"/>
      <c r="E59" s="855"/>
      <c r="F59" s="855"/>
      <c r="G59" s="855"/>
      <c r="H59" s="855"/>
    </row>
    <row r="60" spans="2:24" s="101" customFormat="1" ht="14.45" customHeight="1" x14ac:dyDescent="0.25">
      <c r="B60" s="854" t="str">
        <f>Portafolio_Cadena_Maíz!H132</f>
        <v xml:space="preserve">9.2.7. Diseñar y/o mejorar instrumentos de política, para promover la asociatividad, la integración, y el emprendimiento, a lo largo de la cadena maicera.  </v>
      </c>
      <c r="C60" s="855"/>
      <c r="D60" s="855"/>
      <c r="E60" s="855"/>
      <c r="F60" s="855"/>
      <c r="G60" s="855"/>
      <c r="H60" s="855"/>
    </row>
    <row r="61" spans="2:24" s="101" customFormat="1" ht="14.45" customHeight="1" x14ac:dyDescent="0.25">
      <c r="B61" s="854" t="str">
        <f>Portafolio_Cadena_Maíz!H133</f>
        <v xml:space="preserve">9.2.8. Contribuir en el desarrollo de acciones que mejoren la gestión y el recaudo de la cuota de fomento cerealista. </v>
      </c>
      <c r="C61" s="855"/>
      <c r="D61" s="855"/>
      <c r="E61" s="855"/>
      <c r="F61" s="855"/>
      <c r="G61" s="855"/>
      <c r="H61" s="855"/>
    </row>
    <row r="62" spans="2:24" s="101" customFormat="1" ht="25.5" customHeight="1" x14ac:dyDescent="0.25">
      <c r="B62" s="854"/>
      <c r="C62" s="855"/>
      <c r="D62" s="855"/>
      <c r="E62" s="855"/>
      <c r="F62" s="855"/>
      <c r="G62" s="855"/>
      <c r="H62" s="855"/>
    </row>
    <row r="63" spans="2:24" s="101" customFormat="1" ht="15" x14ac:dyDescent="0.25">
      <c r="B63" s="858" t="s">
        <v>595</v>
      </c>
      <c r="C63" s="859"/>
      <c r="D63" s="859"/>
      <c r="E63" s="859"/>
      <c r="F63" s="859"/>
      <c r="G63" s="859"/>
      <c r="H63" s="859"/>
    </row>
    <row r="64" spans="2:24" ht="15" x14ac:dyDescent="0.25">
      <c r="B64" s="234" t="s">
        <v>68</v>
      </c>
      <c r="C64" s="234" t="s">
        <v>58</v>
      </c>
      <c r="D64" s="234" t="s">
        <v>55</v>
      </c>
      <c r="E64" s="234" t="s">
        <v>54</v>
      </c>
      <c r="F64" s="234" t="s">
        <v>69</v>
      </c>
      <c r="G64" s="234" t="s">
        <v>70</v>
      </c>
      <c r="H64" s="234" t="s">
        <v>71</v>
      </c>
    </row>
    <row r="65" spans="1:24" s="67" customFormat="1" x14ac:dyDescent="0.2">
      <c r="A65" s="216"/>
      <c r="B65" s="258" t="s">
        <v>72</v>
      </c>
      <c r="C65" s="107">
        <v>7</v>
      </c>
      <c r="D65" s="104" t="s">
        <v>253</v>
      </c>
      <c r="E65" s="81">
        <v>500000</v>
      </c>
      <c r="F65" s="104"/>
      <c r="G65" s="104"/>
      <c r="H65" s="81">
        <f>+C65*E65</f>
        <v>3500000</v>
      </c>
      <c r="I65" s="248"/>
      <c r="J65" s="362"/>
    </row>
    <row r="66" spans="1:24" s="67" customFormat="1" x14ac:dyDescent="0.2">
      <c r="B66" s="258" t="s">
        <v>324</v>
      </c>
      <c r="C66" s="107">
        <v>10</v>
      </c>
      <c r="D66" s="104" t="s">
        <v>253</v>
      </c>
      <c r="E66" s="81">
        <v>100000</v>
      </c>
      <c r="F66" s="104"/>
      <c r="G66" s="104"/>
      <c r="H66" s="81">
        <f t="shared" ref="H66:H68" si="5">+C66*E66</f>
        <v>1000000</v>
      </c>
      <c r="I66" s="248"/>
      <c r="J66" s="362"/>
    </row>
    <row r="67" spans="1:24" s="67" customFormat="1" x14ac:dyDescent="0.2">
      <c r="A67" s="216"/>
      <c r="B67" s="258" t="s">
        <v>252</v>
      </c>
      <c r="C67" s="107">
        <v>11</v>
      </c>
      <c r="D67" s="258" t="s">
        <v>253</v>
      </c>
      <c r="E67" s="81">
        <v>2300000</v>
      </c>
      <c r="F67" s="258"/>
      <c r="G67" s="258"/>
      <c r="H67" s="81">
        <f t="shared" si="5"/>
        <v>25300000</v>
      </c>
      <c r="I67" s="253"/>
      <c r="J67" s="362"/>
    </row>
    <row r="68" spans="1:24" s="67" customFormat="1" x14ac:dyDescent="0.2">
      <c r="A68" s="216"/>
      <c r="B68" s="258" t="s">
        <v>147</v>
      </c>
      <c r="C68" s="107">
        <v>19</v>
      </c>
      <c r="D68" s="258" t="s">
        <v>253</v>
      </c>
      <c r="E68" s="81">
        <v>460000</v>
      </c>
      <c r="F68" s="258"/>
      <c r="G68" s="258"/>
      <c r="H68" s="81">
        <f t="shared" si="5"/>
        <v>8740000</v>
      </c>
      <c r="I68" s="253"/>
      <c r="J68" s="362"/>
    </row>
    <row r="69" spans="1:24" x14ac:dyDescent="0.2">
      <c r="B69" s="258" t="s">
        <v>197</v>
      </c>
      <c r="C69" s="107">
        <v>3</v>
      </c>
      <c r="D69" s="258" t="s">
        <v>255</v>
      </c>
      <c r="E69" s="81">
        <v>7862772</v>
      </c>
      <c r="F69" s="258"/>
      <c r="G69" s="258">
        <v>8</v>
      </c>
      <c r="H69" s="81">
        <f>+C69*E69*G69</f>
        <v>188706528</v>
      </c>
      <c r="I69" s="248"/>
      <c r="J69" s="361"/>
    </row>
    <row r="70" spans="1:24" x14ac:dyDescent="0.2">
      <c r="B70" s="258" t="s">
        <v>256</v>
      </c>
      <c r="C70" s="107">
        <v>3</v>
      </c>
      <c r="D70" s="258" t="s">
        <v>255</v>
      </c>
      <c r="E70" s="81">
        <v>1769683</v>
      </c>
      <c r="F70" s="258"/>
      <c r="G70" s="258">
        <v>8</v>
      </c>
      <c r="H70" s="81">
        <f>+C70*E70*G70</f>
        <v>42472392</v>
      </c>
      <c r="I70" s="248"/>
      <c r="J70" s="361"/>
    </row>
    <row r="71" spans="1:24" x14ac:dyDescent="0.2">
      <c r="B71" s="258" t="s">
        <v>400</v>
      </c>
      <c r="C71" s="107">
        <v>1</v>
      </c>
      <c r="D71" s="258" t="s">
        <v>253</v>
      </c>
      <c r="E71" s="81">
        <v>60000000</v>
      </c>
      <c r="F71" s="258"/>
      <c r="G71" s="258"/>
      <c r="H71" s="81">
        <f>C71*E71</f>
        <v>60000000</v>
      </c>
      <c r="I71" s="248"/>
      <c r="J71" s="361"/>
    </row>
    <row r="72" spans="1:24" ht="15" x14ac:dyDescent="0.25">
      <c r="B72" s="258" t="s">
        <v>187</v>
      </c>
      <c r="C72" s="258"/>
      <c r="D72" s="258"/>
      <c r="E72" s="258"/>
      <c r="F72" s="258"/>
      <c r="G72" s="258"/>
      <c r="H72" s="81" t="s">
        <v>250</v>
      </c>
      <c r="I72" s="259" t="s">
        <v>159</v>
      </c>
      <c r="J72" s="361"/>
    </row>
    <row r="73" spans="1:24" ht="15" x14ac:dyDescent="0.25">
      <c r="B73" s="249" t="s">
        <v>85</v>
      </c>
      <c r="C73" s="250"/>
      <c r="D73" s="250"/>
      <c r="E73" s="251"/>
      <c r="F73" s="251"/>
      <c r="G73" s="250"/>
      <c r="H73" s="259">
        <f>SUM(H65:H72)</f>
        <v>329718920</v>
      </c>
      <c r="I73" s="259">
        <f>H73/12</f>
        <v>27476576.666666668</v>
      </c>
      <c r="J73" s="361"/>
    </row>
    <row r="74" spans="1:24" s="67" customFormat="1" ht="260.45" hidden="1" customHeight="1" x14ac:dyDescent="0.2">
      <c r="B74" s="99" t="s">
        <v>86</v>
      </c>
      <c r="C74" s="256"/>
      <c r="D74" s="256"/>
      <c r="E74" s="256"/>
      <c r="F74" s="256"/>
      <c r="G74" s="256"/>
      <c r="H74" s="256"/>
      <c r="J74" s="216"/>
    </row>
    <row r="75" spans="1:24" ht="208.5" customHeight="1" x14ac:dyDescent="0.2">
      <c r="B75" s="254" t="s">
        <v>398</v>
      </c>
      <c r="C75" s="67"/>
      <c r="D75" s="67"/>
      <c r="E75" s="67"/>
      <c r="F75" s="233"/>
      <c r="G75" s="233"/>
      <c r="H75" s="67"/>
    </row>
    <row r="76" spans="1:24" x14ac:dyDescent="0.2">
      <c r="B76" s="67"/>
      <c r="C76" s="67"/>
      <c r="D76" s="67"/>
      <c r="E76" s="67"/>
      <c r="F76" s="67"/>
      <c r="G76" s="67"/>
    </row>
    <row r="78" spans="1:24" s="67" customFormat="1" ht="14.45" customHeight="1" x14ac:dyDescent="0.25">
      <c r="B78" s="867" t="str">
        <f>Portafolio_Cadena_Maíz!D134</f>
        <v>9.3. Fortalecimiento de mecanismos institucionales para el impulso a las inversiones en producción de maíz a mediana y gran escala.</v>
      </c>
      <c r="C78" s="868"/>
      <c r="D78" s="868"/>
      <c r="E78" s="868"/>
      <c r="F78" s="868"/>
      <c r="G78" s="868"/>
      <c r="H78" s="868"/>
    </row>
    <row r="79" spans="1:24" hidden="1" x14ac:dyDescent="0.2">
      <c r="B79" s="256"/>
      <c r="C79" s="256"/>
      <c r="D79" s="256"/>
      <c r="E79" s="256"/>
      <c r="F79" s="256"/>
      <c r="G79" s="256"/>
      <c r="H79" s="256"/>
    </row>
    <row r="80" spans="1:24" s="102" customFormat="1" ht="27.6" customHeight="1" x14ac:dyDescent="0.25">
      <c r="B80" s="854" t="str">
        <f>Portafolio_Cadena_Maíz!H134</f>
        <v>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v>
      </c>
      <c r="C80" s="855"/>
      <c r="D80" s="855"/>
      <c r="E80" s="855"/>
      <c r="F80" s="855"/>
      <c r="G80" s="855"/>
      <c r="H80" s="855"/>
      <c r="I80" s="414"/>
      <c r="X80" s="77"/>
    </row>
    <row r="81" spans="1:24" s="102" customFormat="1" ht="15" x14ac:dyDescent="0.25">
      <c r="B81" s="854" t="str">
        <f>Portafolio_Cadena_Maíz!H135</f>
        <v xml:space="preserve">9.3.2. Analizar el procedimiento de importación de material genético de maíz, identificando oportunidades de mejora para agilizar los trámites de ingreso al país y gestionando los respectivos cambios. </v>
      </c>
      <c r="C81" s="855"/>
      <c r="D81" s="855"/>
      <c r="E81" s="855"/>
      <c r="F81" s="855"/>
      <c r="G81" s="855"/>
      <c r="H81" s="855"/>
      <c r="I81" s="414"/>
      <c r="X81" s="77"/>
    </row>
    <row r="82" spans="1:24" s="102" customFormat="1" ht="15" x14ac:dyDescent="0.25">
      <c r="B82" s="854" t="str">
        <f>Portafolio_Cadena_Maíz!H136</f>
        <v>9.3.3. Analizar los trámites asociados al cumplimiento de los requisitos ambientales para el desarrollo de modelos agroempresariales de la cadena de maíz, y gestionar su simplificación, automatización y estandarización.</v>
      </c>
      <c r="C82" s="855"/>
      <c r="D82" s="855"/>
      <c r="E82" s="855"/>
      <c r="F82" s="855"/>
      <c r="G82" s="855"/>
      <c r="H82" s="855"/>
      <c r="I82" s="414"/>
      <c r="X82" s="77"/>
    </row>
    <row r="83" spans="1:24" s="101" customFormat="1" ht="27" customHeight="1" x14ac:dyDescent="0.25">
      <c r="B83" s="854" t="str">
        <f>Portafolio_Cadena_Maíz!H137</f>
        <v xml:space="preserve">9.3.4. Revisar la normatividad vigente sobre el acceso a la tierra para la consolidación y seguridad jurídica de las inversiones privadas en la producción de maíz, teniendo en cuenta las diferentes escalas de inversión y los tiempos de retorno. </v>
      </c>
      <c r="C83" s="855"/>
      <c r="D83" s="855"/>
      <c r="E83" s="855"/>
      <c r="F83" s="855"/>
      <c r="G83" s="855"/>
      <c r="H83" s="855"/>
    </row>
    <row r="84" spans="1:24" s="101" customFormat="1" ht="44.1" customHeight="1" x14ac:dyDescent="0.25">
      <c r="B84" s="854" t="str">
        <f>Portafolio_Cadena_Maíz!H138</f>
        <v>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v>
      </c>
      <c r="C84" s="855"/>
      <c r="D84" s="855"/>
      <c r="E84" s="855"/>
      <c r="F84" s="855"/>
      <c r="G84" s="855"/>
      <c r="H84" s="855"/>
    </row>
    <row r="85" spans="1:24" s="101" customFormat="1" ht="34.5" customHeight="1" x14ac:dyDescent="0.25">
      <c r="B85" s="854" t="str">
        <f>Portafolio_Cadena_Maíz!H139</f>
        <v>9.3.6. Diseñar incentivos para inversiones de mediana y gran escala que incluyan topes acordes a la realidad del mercado y de la actividad, para el establecimiento de sistemas productivos que mantienen de forma permanente la rotación de cultivos de ciclo corto.</v>
      </c>
      <c r="C85" s="855"/>
      <c r="D85" s="855"/>
      <c r="E85" s="855"/>
      <c r="F85" s="855"/>
      <c r="G85" s="855"/>
      <c r="H85" s="855"/>
    </row>
    <row r="86" spans="1:24" s="101" customFormat="1" ht="34.5" customHeight="1" x14ac:dyDescent="0.25">
      <c r="B86" s="854" t="str">
        <f>Portafolio_Cadena_Maíz!H140</f>
        <v>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v>
      </c>
      <c r="C86" s="855"/>
      <c r="D86" s="855"/>
      <c r="E86" s="855"/>
      <c r="F86" s="855"/>
      <c r="G86" s="855"/>
      <c r="H86" s="855"/>
    </row>
    <row r="87" spans="1:24" s="101" customFormat="1" ht="12.95" customHeight="1" x14ac:dyDescent="0.25">
      <c r="B87" s="659"/>
      <c r="C87" s="660"/>
      <c r="D87" s="660"/>
      <c r="E87" s="660"/>
      <c r="F87" s="660"/>
      <c r="G87" s="660"/>
      <c r="H87" s="660"/>
    </row>
    <row r="88" spans="1:24" s="101" customFormat="1" ht="15" x14ac:dyDescent="0.25">
      <c r="B88" s="854"/>
      <c r="C88" s="855"/>
      <c r="D88" s="855"/>
      <c r="E88" s="855"/>
      <c r="F88" s="855"/>
      <c r="G88" s="855"/>
      <c r="H88" s="855"/>
    </row>
    <row r="89" spans="1:24" s="101" customFormat="1" ht="15" x14ac:dyDescent="0.25">
      <c r="B89" s="858" t="s">
        <v>595</v>
      </c>
      <c r="C89" s="859"/>
      <c r="D89" s="859"/>
      <c r="E89" s="859"/>
      <c r="F89" s="859"/>
      <c r="G89" s="859"/>
      <c r="H89" s="859"/>
    </row>
    <row r="90" spans="1:24" ht="15" x14ac:dyDescent="0.25">
      <c r="B90" s="234" t="s">
        <v>68</v>
      </c>
      <c r="C90" s="234" t="s">
        <v>58</v>
      </c>
      <c r="D90" s="234" t="s">
        <v>55</v>
      </c>
      <c r="E90" s="234" t="s">
        <v>54</v>
      </c>
      <c r="F90" s="234" t="s">
        <v>69</v>
      </c>
      <c r="G90" s="234" t="s">
        <v>70</v>
      </c>
      <c r="H90" s="234" t="s">
        <v>71</v>
      </c>
      <c r="J90" s="67"/>
    </row>
    <row r="91" spans="1:24" s="67" customFormat="1" x14ac:dyDescent="0.2">
      <c r="A91" s="216"/>
      <c r="B91" s="258" t="s">
        <v>252</v>
      </c>
      <c r="C91" s="107">
        <v>8</v>
      </c>
      <c r="D91" s="104" t="s">
        <v>253</v>
      </c>
      <c r="E91" s="81">
        <v>2300000</v>
      </c>
      <c r="F91" s="104"/>
      <c r="G91" s="104"/>
      <c r="H91" s="81">
        <f>+C91*E91</f>
        <v>18400000</v>
      </c>
      <c r="I91" s="248"/>
      <c r="J91" s="362"/>
    </row>
    <row r="92" spans="1:24" s="67" customFormat="1" x14ac:dyDescent="0.2">
      <c r="B92" s="258" t="s">
        <v>147</v>
      </c>
      <c r="C92" s="107">
        <v>20</v>
      </c>
      <c r="D92" s="104" t="s">
        <v>253</v>
      </c>
      <c r="E92" s="81">
        <v>460000</v>
      </c>
      <c r="F92" s="104"/>
      <c r="G92" s="104"/>
      <c r="H92" s="81">
        <f>+C92*E92</f>
        <v>9200000</v>
      </c>
      <c r="I92" s="248"/>
      <c r="J92" s="362"/>
    </row>
    <row r="93" spans="1:24" s="67" customFormat="1" x14ac:dyDescent="0.2">
      <c r="A93" s="216"/>
      <c r="B93" s="258" t="s">
        <v>217</v>
      </c>
      <c r="C93" s="107">
        <v>14</v>
      </c>
      <c r="D93" s="258" t="s">
        <v>253</v>
      </c>
      <c r="E93" s="81">
        <v>100000</v>
      </c>
      <c r="F93" s="258"/>
      <c r="G93" s="258"/>
      <c r="H93" s="81">
        <f>+C93*E93</f>
        <v>1400000</v>
      </c>
      <c r="I93" s="253"/>
      <c r="J93" s="362"/>
    </row>
    <row r="94" spans="1:24" s="67" customFormat="1" x14ac:dyDescent="0.2">
      <c r="A94" s="216"/>
      <c r="B94" s="258" t="s">
        <v>72</v>
      </c>
      <c r="C94" s="107">
        <v>7</v>
      </c>
      <c r="D94" s="258" t="s">
        <v>253</v>
      </c>
      <c r="E94" s="81">
        <v>500000</v>
      </c>
      <c r="F94" s="258"/>
      <c r="G94" s="258"/>
      <c r="H94" s="81">
        <f>+C94*E94</f>
        <v>3500000</v>
      </c>
      <c r="I94" s="253"/>
      <c r="J94" s="361"/>
    </row>
    <row r="95" spans="1:24" x14ac:dyDescent="0.2">
      <c r="B95" s="258" t="s">
        <v>320</v>
      </c>
      <c r="C95" s="107">
        <v>4</v>
      </c>
      <c r="D95" s="258" t="s">
        <v>73</v>
      </c>
      <c r="E95" s="81">
        <v>1800000</v>
      </c>
      <c r="F95" s="258"/>
      <c r="G95" s="258"/>
      <c r="H95" s="81">
        <f>C95*E95</f>
        <v>7200000</v>
      </c>
      <c r="I95" s="248"/>
      <c r="J95" s="362"/>
    </row>
    <row r="96" spans="1:24" s="67" customFormat="1" x14ac:dyDescent="0.2">
      <c r="A96" s="216"/>
      <c r="B96" s="258" t="s">
        <v>289</v>
      </c>
      <c r="C96" s="107">
        <v>4</v>
      </c>
      <c r="D96" s="258" t="s">
        <v>73</v>
      </c>
      <c r="E96" s="81">
        <v>3381852</v>
      </c>
      <c r="F96" s="258"/>
      <c r="G96" s="258"/>
      <c r="H96" s="81">
        <f>C96*E96</f>
        <v>13527408</v>
      </c>
      <c r="I96" s="248"/>
      <c r="J96" s="362"/>
    </row>
    <row r="97" spans="1:24" s="67" customFormat="1" x14ac:dyDescent="0.2">
      <c r="B97" s="258" t="s">
        <v>254</v>
      </c>
      <c r="C97" s="280">
        <v>1</v>
      </c>
      <c r="D97" s="258" t="s">
        <v>253</v>
      </c>
      <c r="E97" s="81">
        <v>142800000</v>
      </c>
      <c r="F97" s="258"/>
      <c r="G97" s="258"/>
      <c r="H97" s="81">
        <f t="shared" ref="H97" si="6">+C97*E97</f>
        <v>142800000</v>
      </c>
      <c r="I97" s="248"/>
      <c r="J97" s="362"/>
    </row>
    <row r="98" spans="1:24" s="67" customFormat="1" x14ac:dyDescent="0.2">
      <c r="A98" s="216"/>
      <c r="B98" s="258" t="s">
        <v>321</v>
      </c>
      <c r="C98" s="107">
        <v>10</v>
      </c>
      <c r="D98" s="104" t="s">
        <v>253</v>
      </c>
      <c r="E98" s="81">
        <v>14500000</v>
      </c>
      <c r="F98" s="104"/>
      <c r="G98" s="104"/>
      <c r="H98" s="81">
        <f>+C98*E98</f>
        <v>145000000</v>
      </c>
      <c r="I98" s="253"/>
      <c r="J98" s="362"/>
    </row>
    <row r="99" spans="1:24" s="67" customFormat="1" x14ac:dyDescent="0.2">
      <c r="A99" s="216"/>
      <c r="B99" s="258" t="s">
        <v>197</v>
      </c>
      <c r="C99" s="107">
        <v>5</v>
      </c>
      <c r="D99" s="104" t="s">
        <v>255</v>
      </c>
      <c r="E99" s="81">
        <v>8963563</v>
      </c>
      <c r="F99" s="104"/>
      <c r="G99" s="107">
        <v>8</v>
      </c>
      <c r="H99" s="81">
        <f>+C99*E99*G99</f>
        <v>358542520</v>
      </c>
      <c r="I99" s="253"/>
      <c r="J99" s="361"/>
    </row>
    <row r="100" spans="1:24" ht="15" x14ac:dyDescent="0.25">
      <c r="B100" s="258" t="s">
        <v>256</v>
      </c>
      <c r="C100" s="107">
        <v>5</v>
      </c>
      <c r="D100" s="258" t="s">
        <v>255</v>
      </c>
      <c r="E100" s="81">
        <v>856561</v>
      </c>
      <c r="F100" s="258"/>
      <c r="G100" s="280"/>
      <c r="H100" s="81">
        <f>C100*E100</f>
        <v>4282805</v>
      </c>
      <c r="I100" s="308"/>
      <c r="J100" s="361"/>
    </row>
    <row r="101" spans="1:24" ht="15" x14ac:dyDescent="0.25">
      <c r="B101" s="258" t="s">
        <v>257</v>
      </c>
      <c r="C101" s="107">
        <v>7</v>
      </c>
      <c r="D101" s="258" t="s">
        <v>255</v>
      </c>
      <c r="E101" s="81">
        <v>2516084</v>
      </c>
      <c r="F101" s="258"/>
      <c r="G101" s="280">
        <v>6</v>
      </c>
      <c r="H101" s="81">
        <f>+G101*E101*C101</f>
        <v>105675528</v>
      </c>
      <c r="I101" s="308"/>
      <c r="J101" s="361"/>
    </row>
    <row r="102" spans="1:24" ht="15" x14ac:dyDescent="0.25">
      <c r="B102" s="258" t="s">
        <v>56</v>
      </c>
      <c r="C102" s="107">
        <v>7</v>
      </c>
      <c r="D102" s="258" t="s">
        <v>255</v>
      </c>
      <c r="E102" s="81">
        <v>1300000</v>
      </c>
      <c r="F102" s="258"/>
      <c r="G102" s="280">
        <v>6</v>
      </c>
      <c r="H102" s="81">
        <f>+G102*E102*C102</f>
        <v>54600000</v>
      </c>
      <c r="I102" s="308"/>
      <c r="J102" s="361"/>
    </row>
    <row r="103" spans="1:24" ht="15" x14ac:dyDescent="0.25">
      <c r="B103" s="258" t="s">
        <v>178</v>
      </c>
      <c r="C103" s="107">
        <v>7</v>
      </c>
      <c r="D103" s="258" t="s">
        <v>255</v>
      </c>
      <c r="E103" s="81">
        <v>155000</v>
      </c>
      <c r="F103" s="258"/>
      <c r="G103" s="280">
        <v>6</v>
      </c>
      <c r="H103" s="81">
        <f>+G103*E103*C103</f>
        <v>6510000</v>
      </c>
      <c r="I103" s="308"/>
      <c r="J103" s="361"/>
    </row>
    <row r="104" spans="1:24" s="67" customFormat="1" ht="260.45" hidden="1" customHeight="1" x14ac:dyDescent="0.25">
      <c r="B104" s="258" t="s">
        <v>292</v>
      </c>
      <c r="C104" s="258"/>
      <c r="D104" s="258"/>
      <c r="E104" s="258"/>
      <c r="F104" s="258"/>
      <c r="G104" s="258"/>
      <c r="H104" s="81" t="s">
        <v>250</v>
      </c>
      <c r="I104" s="308"/>
      <c r="J104" s="216"/>
    </row>
    <row r="105" spans="1:24" s="67" customFormat="1" ht="15" x14ac:dyDescent="0.25">
      <c r="B105" s="258" t="s">
        <v>336</v>
      </c>
      <c r="C105" s="258"/>
      <c r="D105" s="258"/>
      <c r="E105" s="258"/>
      <c r="F105" s="258"/>
      <c r="G105" s="258"/>
      <c r="H105" s="81" t="s">
        <v>250</v>
      </c>
      <c r="I105" s="259" t="s">
        <v>159</v>
      </c>
      <c r="J105" s="216"/>
    </row>
    <row r="106" spans="1:24" ht="15" x14ac:dyDescent="0.25">
      <c r="B106" s="249" t="s">
        <v>85</v>
      </c>
      <c r="C106" s="250"/>
      <c r="D106" s="250"/>
      <c r="E106" s="251"/>
      <c r="F106" s="251"/>
      <c r="G106" s="250"/>
      <c r="H106" s="259">
        <f>SUM(H91:H104)</f>
        <v>870638261</v>
      </c>
      <c r="I106" s="259">
        <f>H106/12</f>
        <v>72553188.416666672</v>
      </c>
      <c r="J106" s="362"/>
    </row>
    <row r="107" spans="1:24" s="67" customFormat="1" ht="256.5" x14ac:dyDescent="0.25">
      <c r="B107" s="254" t="s">
        <v>337</v>
      </c>
      <c r="C107" s="306"/>
      <c r="D107" s="306"/>
      <c r="E107" s="307"/>
      <c r="F107" s="307"/>
      <c r="G107" s="306"/>
      <c r="H107" s="308"/>
      <c r="I107" s="308"/>
    </row>
    <row r="108" spans="1:24" s="67" customFormat="1" ht="15" x14ac:dyDescent="0.25">
      <c r="B108" s="305"/>
      <c r="C108" s="306"/>
      <c r="D108" s="306"/>
      <c r="E108" s="307"/>
      <c r="F108" s="307"/>
      <c r="G108" s="306"/>
      <c r="H108" s="308"/>
      <c r="I108" s="308"/>
    </row>
    <row r="110" spans="1:24" x14ac:dyDescent="0.2">
      <c r="B110" s="869" t="str">
        <f>Portafolio_Cadena_Maíz!D141</f>
        <v>9.4. Diseño y operación del Sistema nacional de Información para la cadena de maíz.</v>
      </c>
      <c r="C110" s="870"/>
      <c r="D110" s="870"/>
      <c r="E110" s="870"/>
      <c r="F110" s="870"/>
      <c r="G110" s="870"/>
      <c r="H110" s="870"/>
    </row>
    <row r="111" spans="1:24" s="102" customFormat="1" ht="41.1" customHeight="1" x14ac:dyDescent="0.25">
      <c r="B111" s="854" t="str">
        <f>Portafolio_Cadena_Maíz!H141</f>
        <v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v>
      </c>
      <c r="C111" s="855"/>
      <c r="D111" s="855"/>
      <c r="E111" s="855"/>
      <c r="F111" s="855"/>
      <c r="G111" s="855"/>
      <c r="H111" s="855"/>
      <c r="I111" s="414"/>
      <c r="X111" s="77"/>
    </row>
    <row r="112" spans="1:24" s="102" customFormat="1" ht="50.1" customHeight="1" x14ac:dyDescent="0.25">
      <c r="B112" s="854" t="str">
        <f>Portafolio_Cadena_Maíz!H142</f>
        <v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v>
      </c>
      <c r="C112" s="855"/>
      <c r="D112" s="855"/>
      <c r="E112" s="855"/>
      <c r="F112" s="855"/>
      <c r="G112" s="855"/>
      <c r="H112" s="855"/>
      <c r="I112" s="414"/>
      <c r="X112" s="77"/>
    </row>
    <row r="113" spans="2:24" s="102" customFormat="1" ht="40.5" customHeight="1" x14ac:dyDescent="0.25">
      <c r="B113" s="854" t="str">
        <f>Portafolio_Cadena_Maíz!H143</f>
        <v>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v>
      </c>
      <c r="C113" s="855"/>
      <c r="D113" s="855"/>
      <c r="E113" s="855"/>
      <c r="F113" s="855"/>
      <c r="G113" s="855"/>
      <c r="H113" s="855"/>
      <c r="I113" s="414"/>
      <c r="X113" s="77"/>
    </row>
    <row r="114" spans="2:24" s="101" customFormat="1" ht="27" customHeight="1" x14ac:dyDescent="0.25">
      <c r="B114" s="854" t="str">
        <f>Portafolio_Cadena_Maíz!H144</f>
        <v>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v>
      </c>
      <c r="C114" s="855"/>
      <c r="D114" s="855"/>
      <c r="E114" s="855"/>
      <c r="F114" s="855"/>
      <c r="G114" s="855"/>
      <c r="H114" s="855"/>
    </row>
    <row r="115" spans="2:24" s="101" customFormat="1" ht="15.6" customHeight="1" x14ac:dyDescent="0.25">
      <c r="B115" s="854"/>
      <c r="C115" s="855"/>
      <c r="D115" s="855"/>
      <c r="E115" s="855"/>
      <c r="F115" s="855"/>
      <c r="G115" s="855"/>
      <c r="H115" s="855"/>
    </row>
    <row r="116" spans="2:24" s="101" customFormat="1" ht="15" x14ac:dyDescent="0.25">
      <c r="B116" s="854"/>
      <c r="C116" s="855"/>
      <c r="D116" s="855"/>
      <c r="E116" s="855"/>
      <c r="F116" s="855"/>
      <c r="G116" s="855"/>
      <c r="H116" s="855"/>
    </row>
    <row r="117" spans="2:24" s="101" customFormat="1" ht="15" x14ac:dyDescent="0.25">
      <c r="B117" s="858" t="s">
        <v>595</v>
      </c>
      <c r="C117" s="859"/>
      <c r="D117" s="859"/>
      <c r="E117" s="859"/>
      <c r="F117" s="859"/>
      <c r="G117" s="859"/>
      <c r="H117" s="859"/>
    </row>
    <row r="118" spans="2:24" ht="15" x14ac:dyDescent="0.2">
      <c r="B118" s="260" t="s">
        <v>68</v>
      </c>
      <c r="C118" s="260" t="s">
        <v>58</v>
      </c>
      <c r="D118" s="260" t="s">
        <v>55</v>
      </c>
      <c r="E118" s="260" t="s">
        <v>54</v>
      </c>
      <c r="F118" s="260" t="s">
        <v>69</v>
      </c>
      <c r="G118" s="260" t="s">
        <v>70</v>
      </c>
      <c r="H118" s="260" t="s">
        <v>71</v>
      </c>
      <c r="J118" s="361"/>
    </row>
    <row r="119" spans="2:24" ht="28.5" x14ac:dyDescent="0.2">
      <c r="B119" s="261" t="s">
        <v>252</v>
      </c>
      <c r="C119" s="237">
        <f>7+7+1</f>
        <v>15</v>
      </c>
      <c r="D119" s="238" t="s">
        <v>253</v>
      </c>
      <c r="E119" s="239">
        <v>2300000</v>
      </c>
      <c r="F119" s="262"/>
      <c r="G119" s="262"/>
      <c r="H119" s="263">
        <f>C119*E119</f>
        <v>34500000</v>
      </c>
      <c r="J119" s="361"/>
    </row>
    <row r="120" spans="2:24" x14ac:dyDescent="0.2">
      <c r="B120" s="264" t="s">
        <v>147</v>
      </c>
      <c r="C120" s="107">
        <f>19</f>
        <v>19</v>
      </c>
      <c r="D120" s="238" t="s">
        <v>253</v>
      </c>
      <c r="E120" s="239">
        <v>460000</v>
      </c>
      <c r="F120" s="262"/>
      <c r="G120" s="262"/>
      <c r="H120" s="263">
        <f t="shared" ref="H120:H122" si="7">C120*E120</f>
        <v>8740000</v>
      </c>
      <c r="J120" s="361"/>
    </row>
    <row r="121" spans="2:24" x14ac:dyDescent="0.2">
      <c r="B121" s="261" t="s">
        <v>217</v>
      </c>
      <c r="C121" s="107">
        <v>7</v>
      </c>
      <c r="D121" s="238" t="s">
        <v>253</v>
      </c>
      <c r="E121" s="239">
        <v>100000</v>
      </c>
      <c r="F121" s="262"/>
      <c r="G121" s="262"/>
      <c r="H121" s="263">
        <f t="shared" si="7"/>
        <v>700000</v>
      </c>
      <c r="J121" s="361"/>
    </row>
    <row r="122" spans="2:24" x14ac:dyDescent="0.2">
      <c r="B122" s="261" t="s">
        <v>72</v>
      </c>
      <c r="C122" s="107">
        <v>7</v>
      </c>
      <c r="D122" s="238" t="s">
        <v>253</v>
      </c>
      <c r="E122" s="239">
        <v>500000</v>
      </c>
      <c r="F122" s="262"/>
      <c r="G122" s="262"/>
      <c r="H122" s="263">
        <f t="shared" si="7"/>
        <v>3500000</v>
      </c>
      <c r="J122" s="361"/>
    </row>
    <row r="123" spans="2:24" x14ac:dyDescent="0.2">
      <c r="B123" s="264" t="s">
        <v>197</v>
      </c>
      <c r="C123" s="241">
        <v>3</v>
      </c>
      <c r="D123" s="242" t="s">
        <v>255</v>
      </c>
      <c r="E123" s="243">
        <v>7862772</v>
      </c>
      <c r="F123" s="262"/>
      <c r="G123" s="265">
        <v>8</v>
      </c>
      <c r="H123" s="263">
        <f>C123*E123*G123</f>
        <v>188706528</v>
      </c>
      <c r="J123" s="361"/>
    </row>
    <row r="124" spans="2:24" x14ac:dyDescent="0.2">
      <c r="B124" s="264" t="s">
        <v>256</v>
      </c>
      <c r="C124" s="241">
        <v>3</v>
      </c>
      <c r="D124" s="242" t="s">
        <v>255</v>
      </c>
      <c r="E124" s="243">
        <v>1769683</v>
      </c>
      <c r="F124" s="262"/>
      <c r="G124" s="265"/>
      <c r="H124" s="263">
        <f>C124*E124</f>
        <v>5309049</v>
      </c>
      <c r="J124" s="361"/>
    </row>
    <row r="125" spans="2:24" x14ac:dyDescent="0.2">
      <c r="B125" s="264" t="s">
        <v>257</v>
      </c>
      <c r="C125" s="241">
        <v>10</v>
      </c>
      <c r="D125" s="242" t="s">
        <v>255</v>
      </c>
      <c r="E125" s="243">
        <v>3931384</v>
      </c>
      <c r="F125" s="262"/>
      <c r="G125" s="265">
        <v>6</v>
      </c>
      <c r="H125" s="263">
        <f>C125*E125*G125</f>
        <v>235883040</v>
      </c>
      <c r="J125" s="361"/>
    </row>
    <row r="126" spans="2:24" x14ac:dyDescent="0.2">
      <c r="B126" s="264" t="s">
        <v>56</v>
      </c>
      <c r="C126" s="241">
        <v>10</v>
      </c>
      <c r="D126" s="242" t="s">
        <v>255</v>
      </c>
      <c r="E126" s="243">
        <v>1300000</v>
      </c>
      <c r="F126" s="266"/>
      <c r="G126" s="265">
        <v>6</v>
      </c>
      <c r="H126" s="263">
        <f t="shared" ref="H126:H128" si="8">C126*E126*G126</f>
        <v>78000000</v>
      </c>
      <c r="J126" s="361"/>
    </row>
    <row r="127" spans="2:24" x14ac:dyDescent="0.2">
      <c r="B127" s="264" t="s">
        <v>178</v>
      </c>
      <c r="C127" s="241">
        <v>10</v>
      </c>
      <c r="D127" s="242" t="s">
        <v>73</v>
      </c>
      <c r="E127" s="243">
        <v>155000</v>
      </c>
      <c r="F127" s="262"/>
      <c r="G127" s="265">
        <v>6</v>
      </c>
      <c r="H127" s="263">
        <f t="shared" si="8"/>
        <v>9300000</v>
      </c>
      <c r="J127" s="361"/>
    </row>
    <row r="128" spans="2:24" ht="15" x14ac:dyDescent="0.2">
      <c r="B128" s="262" t="s">
        <v>325</v>
      </c>
      <c r="C128" s="262"/>
      <c r="D128" s="262"/>
      <c r="E128" s="262"/>
      <c r="F128" s="262"/>
      <c r="G128" s="262"/>
      <c r="H128" s="263">
        <f t="shared" si="8"/>
        <v>0</v>
      </c>
      <c r="I128" s="269" t="s">
        <v>159</v>
      </c>
      <c r="J128" s="361"/>
    </row>
    <row r="129" spans="2:24" ht="15" x14ac:dyDescent="0.2">
      <c r="B129" s="260" t="s">
        <v>85</v>
      </c>
      <c r="C129" s="267"/>
      <c r="D129" s="267"/>
      <c r="E129" s="268"/>
      <c r="F129" s="268"/>
      <c r="G129" s="267"/>
      <c r="H129" s="269">
        <f>SUM(H119:H128)</f>
        <v>564638617</v>
      </c>
      <c r="I129" s="269">
        <f>H129/12</f>
        <v>47053218.083333336</v>
      </c>
      <c r="J129" s="361"/>
    </row>
    <row r="130" spans="2:24" ht="199.5" x14ac:dyDescent="0.2">
      <c r="B130" s="254" t="s">
        <v>331</v>
      </c>
      <c r="C130" s="270"/>
      <c r="D130" s="271"/>
      <c r="E130" s="271"/>
      <c r="F130" s="271"/>
      <c r="G130" s="271"/>
      <c r="H130" s="271"/>
    </row>
    <row r="133" spans="2:24" ht="15" x14ac:dyDescent="0.2">
      <c r="B133" s="869" t="str">
        <f>+B12</f>
        <v>9.5. Constitución y fortalecimiento de la Organización de Cadena de maíz.</v>
      </c>
      <c r="C133" s="869"/>
      <c r="D133" s="869"/>
      <c r="E133" s="869"/>
      <c r="F133" s="869"/>
      <c r="G133" s="869"/>
      <c r="H133" s="869"/>
    </row>
    <row r="134" spans="2:24" s="102" customFormat="1" ht="15" x14ac:dyDescent="0.25">
      <c r="B134" s="854" t="str">
        <f>Portafolio_Cadena_Maíz!H145</f>
        <v>9.5.1. Priorizar las subregiones maiceras de acuerdo con criterios de aptitud, productividad, infraestructura, bienes y servicios, mercado actual y potencial, interés y participación de los actores, entre otros factores.</v>
      </c>
      <c r="C134" s="855"/>
      <c r="D134" s="855"/>
      <c r="E134" s="855"/>
      <c r="F134" s="855"/>
      <c r="G134" s="855"/>
      <c r="H134" s="855"/>
      <c r="I134" s="414"/>
      <c r="X134" s="77"/>
    </row>
    <row r="135" spans="2:24" s="102" customFormat="1" ht="15" x14ac:dyDescent="0.25">
      <c r="B135" s="854" t="str">
        <f>Portafolio_Cadena_Maíz!H146</f>
        <v>9.5.2. Crear, fortalecer y gestionar los recursos para el funcionamiento de los comités regionales de la cadena de maíz, en el marco de la Ley 811 de 2003.</v>
      </c>
      <c r="C135" s="855"/>
      <c r="D135" s="855"/>
      <c r="E135" s="855"/>
      <c r="F135" s="855"/>
      <c r="G135" s="855"/>
      <c r="H135" s="855"/>
      <c r="I135" s="414"/>
      <c r="X135" s="77"/>
    </row>
    <row r="136" spans="2:24" s="102" customFormat="1" ht="15" x14ac:dyDescent="0.25">
      <c r="B136" s="854" t="str">
        <f>Portafolio_Cadena_Maíz!H147</f>
        <v>9.5.3. Propiciar la creación de la Organización de Cadena a nivel nacional, a partir de los avances en la dinámica y fortalecimiento de los comités regionales de la cadena de maíz.</v>
      </c>
      <c r="C136" s="855"/>
      <c r="D136" s="855"/>
      <c r="E136" s="855"/>
      <c r="F136" s="855"/>
      <c r="G136" s="855"/>
      <c r="H136" s="855"/>
      <c r="I136" s="414"/>
      <c r="X136" s="77"/>
    </row>
    <row r="137" spans="2:24" s="101" customFormat="1" ht="15" x14ac:dyDescent="0.25">
      <c r="B137" s="854" t="str">
        <f>Portafolio_Cadena_Maíz!H148</f>
        <v xml:space="preserve">9.5.4. Acompañar el desarrollo y progreso de los comités regionales de la cadena de maíz y la Organización de Cadena a nivel nacional para lograr su sostenibilidad y capacidad ejecutiva. </v>
      </c>
      <c r="C137" s="855"/>
      <c r="D137" s="855"/>
      <c r="E137" s="855"/>
      <c r="F137" s="855"/>
      <c r="G137" s="855"/>
      <c r="H137" s="855"/>
    </row>
    <row r="138" spans="2:24" s="101" customFormat="1" ht="29.1" customHeight="1" x14ac:dyDescent="0.25">
      <c r="B138" s="854" t="str">
        <f>Portafolio_Cadena_Maíz!H149</f>
        <v>9.5.5. Consolidar la gestión de los comités regionales de la cadena de maíz, a través de la gestión gradual del POP para la cadena maicera y los Planes Maestros de Reconversión Productiva - PMRP, en concordancia con el proyecto 9.6. Adopción, promoción y monitoreo de la política pública para la cadena de maíz.</v>
      </c>
      <c r="C138" s="855"/>
      <c r="D138" s="855"/>
      <c r="E138" s="855"/>
      <c r="F138" s="855"/>
      <c r="G138" s="855"/>
      <c r="H138" s="855"/>
    </row>
    <row r="139" spans="2:24" s="101" customFormat="1" ht="15" x14ac:dyDescent="0.25">
      <c r="B139" s="854"/>
      <c r="C139" s="855"/>
      <c r="D139" s="855"/>
      <c r="E139" s="855"/>
      <c r="F139" s="855"/>
      <c r="G139" s="855"/>
      <c r="H139" s="855"/>
    </row>
    <row r="140" spans="2:24" s="101" customFormat="1" ht="15" x14ac:dyDescent="0.25">
      <c r="B140" s="858" t="s">
        <v>595</v>
      </c>
      <c r="C140" s="859"/>
      <c r="D140" s="859"/>
      <c r="E140" s="859"/>
      <c r="F140" s="859"/>
      <c r="G140" s="859"/>
      <c r="H140" s="859"/>
    </row>
    <row r="141" spans="2:24" ht="15" x14ac:dyDescent="0.2">
      <c r="B141" s="272" t="s">
        <v>68</v>
      </c>
      <c r="C141" s="272" t="s">
        <v>58</v>
      </c>
      <c r="D141" s="272" t="s">
        <v>55</v>
      </c>
      <c r="E141" s="272" t="s">
        <v>54</v>
      </c>
      <c r="F141" s="273" t="s">
        <v>69</v>
      </c>
      <c r="G141" s="272" t="s">
        <v>70</v>
      </c>
      <c r="H141" s="272" t="s">
        <v>71</v>
      </c>
    </row>
    <row r="142" spans="2:24" x14ac:dyDescent="0.2">
      <c r="B142" s="104" t="s">
        <v>72</v>
      </c>
      <c r="C142" s="274">
        <v>7</v>
      </c>
      <c r="D142" s="275" t="s">
        <v>73</v>
      </c>
      <c r="E142" s="263">
        <v>500000</v>
      </c>
      <c r="F142" s="276"/>
      <c r="G142" s="277"/>
      <c r="H142" s="263">
        <f>C142*E142</f>
        <v>3500000</v>
      </c>
      <c r="J142" s="361"/>
    </row>
    <row r="143" spans="2:24" x14ac:dyDescent="0.2">
      <c r="B143" s="104" t="s">
        <v>217</v>
      </c>
      <c r="C143" s="274">
        <v>19</v>
      </c>
      <c r="D143" s="275" t="s">
        <v>73</v>
      </c>
      <c r="E143" s="263">
        <v>100000</v>
      </c>
      <c r="F143" s="276"/>
      <c r="G143" s="277"/>
      <c r="H143" s="263">
        <f>C143*E143</f>
        <v>1900000</v>
      </c>
      <c r="J143" s="361"/>
    </row>
    <row r="144" spans="2:24" x14ac:dyDescent="0.2">
      <c r="B144" s="278" t="s">
        <v>252</v>
      </c>
      <c r="C144" s="274">
        <v>7</v>
      </c>
      <c r="D144" s="275" t="s">
        <v>73</v>
      </c>
      <c r="E144" s="263">
        <v>2300000</v>
      </c>
      <c r="F144" s="276"/>
      <c r="G144" s="277"/>
      <c r="H144" s="263">
        <f>C144*E144</f>
        <v>16100000</v>
      </c>
      <c r="J144" s="361"/>
    </row>
    <row r="145" spans="2:24" x14ac:dyDescent="0.2">
      <c r="B145" s="278" t="s">
        <v>79</v>
      </c>
      <c r="C145" s="274">
        <v>2</v>
      </c>
      <c r="D145" s="275" t="s">
        <v>240</v>
      </c>
      <c r="E145" s="263">
        <v>5661197</v>
      </c>
      <c r="F145" s="276">
        <v>0.5</v>
      </c>
      <c r="G145" s="277">
        <v>12</v>
      </c>
      <c r="H145" s="263">
        <f>C145*E145*G145*F145</f>
        <v>67934364</v>
      </c>
      <c r="J145" s="361"/>
    </row>
    <row r="146" spans="2:24" x14ac:dyDescent="0.2">
      <c r="B146" s="278" t="s">
        <v>80</v>
      </c>
      <c r="C146" s="274">
        <v>4</v>
      </c>
      <c r="D146" s="275" t="s">
        <v>73</v>
      </c>
      <c r="E146" s="263">
        <v>957268</v>
      </c>
      <c r="F146" s="276"/>
      <c r="G146" s="277"/>
      <c r="H146" s="263">
        <f>C146*E146</f>
        <v>3829072</v>
      </c>
      <c r="J146" s="361"/>
    </row>
    <row r="147" spans="2:24" x14ac:dyDescent="0.2">
      <c r="B147" s="278" t="s">
        <v>228</v>
      </c>
      <c r="C147" s="274">
        <v>7</v>
      </c>
      <c r="D147" s="275" t="s">
        <v>240</v>
      </c>
      <c r="E147" s="263">
        <v>5032173</v>
      </c>
      <c r="F147" s="276">
        <v>0.5</v>
      </c>
      <c r="G147" s="277">
        <v>10</v>
      </c>
      <c r="H147" s="263">
        <f>C147*E147*G147*F147</f>
        <v>176126055</v>
      </c>
      <c r="J147" s="361"/>
    </row>
    <row r="148" spans="2:24" x14ac:dyDescent="0.2">
      <c r="B148" s="278" t="s">
        <v>56</v>
      </c>
      <c r="C148" s="274">
        <v>7</v>
      </c>
      <c r="D148" s="275" t="s">
        <v>73</v>
      </c>
      <c r="E148" s="263">
        <v>1300000</v>
      </c>
      <c r="F148" s="276">
        <v>0.5</v>
      </c>
      <c r="G148" s="277">
        <v>10</v>
      </c>
      <c r="H148" s="263">
        <f>C148*E148*F148*G148</f>
        <v>45500000</v>
      </c>
      <c r="J148" s="361"/>
    </row>
    <row r="149" spans="2:24" x14ac:dyDescent="0.2">
      <c r="B149" s="279" t="s">
        <v>178</v>
      </c>
      <c r="C149" s="280">
        <v>7</v>
      </c>
      <c r="D149" s="258" t="s">
        <v>73</v>
      </c>
      <c r="E149" s="281">
        <v>155000</v>
      </c>
      <c r="F149" s="282">
        <v>0.5</v>
      </c>
      <c r="G149" s="279">
        <v>10</v>
      </c>
      <c r="H149" s="263">
        <f>C149*E149*F149*G149</f>
        <v>5425000</v>
      </c>
      <c r="J149" s="361"/>
    </row>
    <row r="150" spans="2:24" x14ac:dyDescent="0.2">
      <c r="B150" s="279" t="s">
        <v>326</v>
      </c>
      <c r="C150" s="279"/>
      <c r="D150" s="279"/>
      <c r="E150" s="281"/>
      <c r="F150" s="279"/>
      <c r="G150" s="279"/>
      <c r="H150" s="283" t="s">
        <v>67</v>
      </c>
      <c r="J150" s="361"/>
    </row>
    <row r="151" spans="2:24" ht="15" x14ac:dyDescent="0.2">
      <c r="B151" s="284" t="s">
        <v>32</v>
      </c>
      <c r="C151" s="285"/>
      <c r="D151" s="285"/>
      <c r="E151" s="285"/>
      <c r="F151" s="286"/>
      <c r="G151" s="286"/>
      <c r="H151" s="287">
        <f>SUM(H142:H150)</f>
        <v>320314491</v>
      </c>
      <c r="J151" s="361"/>
    </row>
    <row r="152" spans="2:24" ht="132.75" customHeight="1" x14ac:dyDescent="0.2">
      <c r="B152" s="288" t="s">
        <v>327</v>
      </c>
      <c r="C152" s="289"/>
      <c r="D152" s="289"/>
      <c r="E152" s="289"/>
      <c r="F152" s="289"/>
      <c r="G152" s="289"/>
      <c r="H152" s="289"/>
    </row>
    <row r="154" spans="2:24" x14ac:dyDescent="0.2">
      <c r="B154" s="869" t="str">
        <f>+B13</f>
        <v>9.6. Adopción, promoción y monitoreo de la política pública para la cadena de maíz.</v>
      </c>
      <c r="C154" s="870"/>
      <c r="D154" s="870"/>
      <c r="E154" s="870"/>
      <c r="F154" s="870"/>
      <c r="G154" s="870"/>
      <c r="H154" s="870"/>
    </row>
    <row r="155" spans="2:24" s="102" customFormat="1" ht="15" x14ac:dyDescent="0.25">
      <c r="B155" s="854" t="str">
        <f>Portafolio_Cadena_Maíz!H150</f>
        <v xml:space="preserve">9.6.1. Adoptar como política pública el Plan de Ordenamiento Productivo para la cadena de maíz, mediante resolución expedida por el Minagricultura. </v>
      </c>
      <c r="C155" s="855"/>
      <c r="D155" s="855"/>
      <c r="E155" s="855"/>
      <c r="F155" s="855"/>
      <c r="G155" s="855"/>
      <c r="H155" s="855"/>
      <c r="I155" s="414"/>
      <c r="X155" s="77"/>
    </row>
    <row r="156" spans="2:24" s="102" customFormat="1" ht="15" x14ac:dyDescent="0.25">
      <c r="B156" s="854" t="str">
        <f>Portafolio_Cadena_Maíz!H151</f>
        <v>9.6.2. Establecer el cronograma anual para la implementación del Plan de Ordenamiento Productivo de la cadena de maíz.</v>
      </c>
      <c r="C156" s="855"/>
      <c r="D156" s="855"/>
      <c r="E156" s="855"/>
      <c r="F156" s="855"/>
      <c r="G156" s="855"/>
      <c r="H156" s="855"/>
      <c r="I156" s="414"/>
      <c r="X156" s="77"/>
    </row>
    <row r="157" spans="2:24" s="102" customFormat="1" ht="15" x14ac:dyDescent="0.25">
      <c r="B157" s="854" t="str">
        <f>Portafolio_Cadena_Maíz!H152</f>
        <v>9.6.3. Socializar y divulgar el Plan de Ordenamiento Productivo para la cadena de maíz, a nivel nacional y territorial.</v>
      </c>
      <c r="C157" s="855"/>
      <c r="D157" s="855"/>
      <c r="E157" s="855"/>
      <c r="F157" s="855"/>
      <c r="G157" s="855"/>
      <c r="H157" s="855"/>
      <c r="I157" s="414"/>
      <c r="X157" s="77"/>
    </row>
    <row r="158" spans="2:24" s="101" customFormat="1" ht="33.950000000000003" customHeight="1" x14ac:dyDescent="0.25">
      <c r="B158" s="854" t="str">
        <f>Portafolio_Cadena_Maíz!H153</f>
        <v>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v>
      </c>
      <c r="C158" s="855"/>
      <c r="D158" s="855"/>
      <c r="E158" s="855"/>
      <c r="F158" s="855"/>
      <c r="G158" s="855"/>
      <c r="H158" s="855"/>
    </row>
    <row r="159" spans="2:24" s="101" customFormat="1" ht="15" x14ac:dyDescent="0.25">
      <c r="B159" s="854" t="str">
        <f>Portafolio_Cadena_Maíz!H154</f>
        <v>9.6.5. Empoderar gradualmente los diferentes comités regionales que se constituyan, para que tomen el liderazgo en la implementación del POP de la cadena de maíz.</v>
      </c>
      <c r="C159" s="855"/>
      <c r="D159" s="855"/>
      <c r="E159" s="855"/>
      <c r="F159" s="855"/>
      <c r="G159" s="855"/>
      <c r="H159" s="855"/>
    </row>
    <row r="160" spans="2:24" s="101" customFormat="1" ht="15" x14ac:dyDescent="0.25">
      <c r="B160" s="854" t="str">
        <f>Portafolio_Cadena_Maíz!H155</f>
        <v>9.6.6. Diseñar e implementar el sistema de seguimiento y evaluación del Plan de Ordenamiento Productivo para la cadena de maíz.</v>
      </c>
      <c r="C160" s="855"/>
      <c r="D160" s="855"/>
      <c r="E160" s="855"/>
      <c r="F160" s="855"/>
      <c r="G160" s="855"/>
      <c r="H160" s="855"/>
    </row>
    <row r="161" spans="2:10" s="101" customFormat="1" ht="15" x14ac:dyDescent="0.25">
      <c r="B161" s="854"/>
      <c r="C161" s="855"/>
      <c r="D161" s="855"/>
      <c r="E161" s="855"/>
      <c r="F161" s="855"/>
      <c r="G161" s="855"/>
      <c r="H161" s="855"/>
    </row>
    <row r="162" spans="2:10" s="101" customFormat="1" ht="15" x14ac:dyDescent="0.25">
      <c r="B162" s="854"/>
      <c r="C162" s="855"/>
      <c r="D162" s="855"/>
      <c r="E162" s="855"/>
      <c r="F162" s="855"/>
      <c r="G162" s="855"/>
      <c r="H162" s="855"/>
    </row>
    <row r="163" spans="2:10" s="101" customFormat="1" ht="15" x14ac:dyDescent="0.25">
      <c r="B163" s="858" t="s">
        <v>595</v>
      </c>
      <c r="C163" s="859"/>
      <c r="D163" s="859"/>
      <c r="E163" s="859"/>
      <c r="F163" s="859"/>
      <c r="G163" s="859"/>
      <c r="H163" s="859"/>
    </row>
    <row r="164" spans="2:10" ht="15" x14ac:dyDescent="0.2">
      <c r="B164" s="290" t="s">
        <v>68</v>
      </c>
      <c r="C164" s="290" t="s">
        <v>58</v>
      </c>
      <c r="D164" s="290" t="s">
        <v>55</v>
      </c>
      <c r="E164" s="290" t="s">
        <v>54</v>
      </c>
      <c r="F164" s="290" t="s">
        <v>69</v>
      </c>
      <c r="G164" s="290" t="s">
        <v>70</v>
      </c>
      <c r="H164" s="290" t="s">
        <v>71</v>
      </c>
    </row>
    <row r="165" spans="2:10" x14ac:dyDescent="0.2">
      <c r="B165" s="104" t="s">
        <v>72</v>
      </c>
      <c r="C165" s="280">
        <v>7</v>
      </c>
      <c r="D165" s="279" t="s">
        <v>73</v>
      </c>
      <c r="E165" s="263">
        <v>500000</v>
      </c>
      <c r="F165" s="279"/>
      <c r="G165" s="279"/>
      <c r="H165" s="263">
        <f>+C165*E165</f>
        <v>3500000</v>
      </c>
      <c r="J165" s="361"/>
    </row>
    <row r="166" spans="2:10" x14ac:dyDescent="0.2">
      <c r="B166" s="104" t="s">
        <v>217</v>
      </c>
      <c r="C166" s="280">
        <v>19</v>
      </c>
      <c r="D166" s="279" t="s">
        <v>73</v>
      </c>
      <c r="E166" s="263">
        <v>100000</v>
      </c>
      <c r="F166" s="279"/>
      <c r="G166" s="279"/>
      <c r="H166" s="263">
        <f>+C166*E166</f>
        <v>1900000</v>
      </c>
      <c r="J166" s="361"/>
    </row>
    <row r="167" spans="2:10" x14ac:dyDescent="0.2">
      <c r="B167" s="278" t="s">
        <v>252</v>
      </c>
      <c r="C167" s="280">
        <v>8</v>
      </c>
      <c r="D167" s="279" t="s">
        <v>73</v>
      </c>
      <c r="E167" s="263">
        <v>2300000</v>
      </c>
      <c r="F167" s="279"/>
      <c r="G167" s="279"/>
      <c r="H167" s="263">
        <f>+C167*E167</f>
        <v>18400000</v>
      </c>
      <c r="J167" s="361"/>
    </row>
    <row r="168" spans="2:10" x14ac:dyDescent="0.2">
      <c r="B168" s="279" t="s">
        <v>259</v>
      </c>
      <c r="C168" s="280">
        <v>7</v>
      </c>
      <c r="D168" s="279" t="s">
        <v>73</v>
      </c>
      <c r="E168" s="263">
        <v>460000</v>
      </c>
      <c r="F168" s="279"/>
      <c r="G168" s="279"/>
      <c r="H168" s="263">
        <f t="shared" ref="H168" si="9">+C168*E168</f>
        <v>3220000</v>
      </c>
      <c r="J168" s="361"/>
    </row>
    <row r="169" spans="2:10" x14ac:dyDescent="0.2">
      <c r="B169" s="279" t="s">
        <v>79</v>
      </c>
      <c r="C169" s="280">
        <v>2</v>
      </c>
      <c r="D169" s="279" t="s">
        <v>73</v>
      </c>
      <c r="E169" s="263">
        <v>5661197</v>
      </c>
      <c r="F169" s="282">
        <v>0.5</v>
      </c>
      <c r="G169" s="279">
        <v>12</v>
      </c>
      <c r="H169" s="263">
        <f>+C169*E169*F169*G169</f>
        <v>67934364</v>
      </c>
      <c r="J169" s="361"/>
    </row>
    <row r="170" spans="2:10" x14ac:dyDescent="0.2">
      <c r="B170" s="278" t="s">
        <v>80</v>
      </c>
      <c r="C170" s="280">
        <v>2</v>
      </c>
      <c r="D170" s="279" t="s">
        <v>73</v>
      </c>
      <c r="E170" s="263">
        <v>957268</v>
      </c>
      <c r="F170" s="282"/>
      <c r="G170" s="279"/>
      <c r="H170" s="263">
        <f>C170*E170</f>
        <v>1914536</v>
      </c>
      <c r="J170" s="361"/>
    </row>
    <row r="171" spans="2:10" x14ac:dyDescent="0.2">
      <c r="B171" s="278" t="s">
        <v>328</v>
      </c>
      <c r="C171" s="280">
        <v>1</v>
      </c>
      <c r="D171" s="279" t="s">
        <v>73</v>
      </c>
      <c r="E171" s="263">
        <v>7862772</v>
      </c>
      <c r="F171" s="282"/>
      <c r="G171" s="279">
        <v>4</v>
      </c>
      <c r="H171" s="263">
        <f>+C171*E171*G171</f>
        <v>31451088</v>
      </c>
      <c r="J171" s="361"/>
    </row>
    <row r="172" spans="2:10" x14ac:dyDescent="0.2">
      <c r="B172" s="278" t="s">
        <v>228</v>
      </c>
      <c r="C172" s="274">
        <v>7</v>
      </c>
      <c r="D172" s="277" t="s">
        <v>240</v>
      </c>
      <c r="E172" s="263">
        <v>5032173</v>
      </c>
      <c r="F172" s="276">
        <v>0.5</v>
      </c>
      <c r="G172" s="277">
        <v>10</v>
      </c>
      <c r="H172" s="263">
        <f>C172*E172*G172*F172</f>
        <v>176126055</v>
      </c>
      <c r="J172" s="361"/>
    </row>
    <row r="173" spans="2:10" x14ac:dyDescent="0.2">
      <c r="B173" s="278" t="s">
        <v>56</v>
      </c>
      <c r="C173" s="274">
        <v>7</v>
      </c>
      <c r="D173" s="277" t="s">
        <v>73</v>
      </c>
      <c r="E173" s="263">
        <v>1300000</v>
      </c>
      <c r="F173" s="276">
        <v>0.5</v>
      </c>
      <c r="G173" s="277">
        <v>10</v>
      </c>
      <c r="H173" s="263">
        <f t="shared" ref="H173:H174" si="10">C173*E173*G173*F173</f>
        <v>45500000</v>
      </c>
      <c r="J173" s="361"/>
    </row>
    <row r="174" spans="2:10" x14ac:dyDescent="0.2">
      <c r="B174" s="279" t="s">
        <v>178</v>
      </c>
      <c r="C174" s="280">
        <v>7</v>
      </c>
      <c r="D174" s="279" t="s">
        <v>73</v>
      </c>
      <c r="E174" s="281">
        <v>155000</v>
      </c>
      <c r="F174" s="282">
        <v>0.5</v>
      </c>
      <c r="G174" s="279">
        <v>10</v>
      </c>
      <c r="H174" s="263">
        <f t="shared" si="10"/>
        <v>5425000</v>
      </c>
      <c r="J174" s="361"/>
    </row>
    <row r="175" spans="2:10" x14ac:dyDescent="0.2">
      <c r="B175" s="279" t="s">
        <v>171</v>
      </c>
      <c r="C175" s="279"/>
      <c r="D175" s="279"/>
      <c r="E175" s="281"/>
      <c r="F175" s="282"/>
      <c r="G175" s="279"/>
      <c r="H175" s="263" t="s">
        <v>67</v>
      </c>
      <c r="J175" s="361"/>
    </row>
    <row r="176" spans="2:10" ht="15" x14ac:dyDescent="0.2">
      <c r="B176" s="291" t="s">
        <v>85</v>
      </c>
      <c r="C176" s="292"/>
      <c r="D176" s="292"/>
      <c r="E176" s="293"/>
      <c r="F176" s="293"/>
      <c r="G176" s="292"/>
      <c r="H176" s="294">
        <f>SUM(H165:H174)</f>
        <v>355371043</v>
      </c>
      <c r="J176" s="361"/>
    </row>
    <row r="177" spans="2:8" ht="145.5" customHeight="1" x14ac:dyDescent="0.2">
      <c r="B177" s="270" t="s">
        <v>329</v>
      </c>
      <c r="C177" s="295"/>
      <c r="D177" s="295"/>
      <c r="E177" s="295"/>
      <c r="F177" s="295"/>
      <c r="G177" s="295"/>
      <c r="H177" s="295"/>
    </row>
  </sheetData>
  <sheetProtection algorithmName="SHA-512" hashValue="uJVYCcKhdYBI3vyog581jakRB6PHbSHlM6ggUslZY0XSboEU3gKCj99oea3wnPtBK68GFoxTytFxKP7EfnpqkA==" saltValue="QHY7ZMgeLfIoPrRnmRNS1Q==" spinCount="100000" sheet="1" objects="1" scenarios="1"/>
  <mergeCells count="58">
    <mergeCell ref="B17:H18"/>
    <mergeCell ref="B52:H52"/>
    <mergeCell ref="B110:H110"/>
    <mergeCell ref="B133:H133"/>
    <mergeCell ref="B154:H154"/>
    <mergeCell ref="B78:H78"/>
    <mergeCell ref="B19:H19"/>
    <mergeCell ref="B20:H20"/>
    <mergeCell ref="B21:H21"/>
    <mergeCell ref="B22:H22"/>
    <mergeCell ref="B23:H23"/>
    <mergeCell ref="B24:H24"/>
    <mergeCell ref="B25:H25"/>
    <mergeCell ref="B26:H26"/>
    <mergeCell ref="B27:H27"/>
    <mergeCell ref="B29:H29"/>
    <mergeCell ref="B54:H54"/>
    <mergeCell ref="B55:H55"/>
    <mergeCell ref="B56:H56"/>
    <mergeCell ref="B57:H57"/>
    <mergeCell ref="B58:H58"/>
    <mergeCell ref="B59:H59"/>
    <mergeCell ref="B60:H60"/>
    <mergeCell ref="B61:H61"/>
    <mergeCell ref="B63:H63"/>
    <mergeCell ref="B62:H62"/>
    <mergeCell ref="B80:H80"/>
    <mergeCell ref="B81:H81"/>
    <mergeCell ref="B82:H82"/>
    <mergeCell ref="B83:H83"/>
    <mergeCell ref="B84:H84"/>
    <mergeCell ref="B85:H85"/>
    <mergeCell ref="B88:H88"/>
    <mergeCell ref="B89:H89"/>
    <mergeCell ref="B111:H111"/>
    <mergeCell ref="B112:H112"/>
    <mergeCell ref="B86:H86"/>
    <mergeCell ref="B113:H113"/>
    <mergeCell ref="B114:H114"/>
    <mergeCell ref="B116:H116"/>
    <mergeCell ref="B117:H117"/>
    <mergeCell ref="B134:H134"/>
    <mergeCell ref="B115:H115"/>
    <mergeCell ref="B135:H135"/>
    <mergeCell ref="B136:H136"/>
    <mergeCell ref="B137:H137"/>
    <mergeCell ref="B138:H138"/>
    <mergeCell ref="B140:H140"/>
    <mergeCell ref="B139:H139"/>
    <mergeCell ref="B162:H162"/>
    <mergeCell ref="B163:H163"/>
    <mergeCell ref="B160:H160"/>
    <mergeCell ref="B155:H155"/>
    <mergeCell ref="B156:H156"/>
    <mergeCell ref="B157:H157"/>
    <mergeCell ref="B158:H158"/>
    <mergeCell ref="B159:H159"/>
    <mergeCell ref="B161:H161"/>
  </mergeCells>
  <phoneticPr fontId="27" type="noConversion"/>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60" zoomScaleNormal="60" workbookViewId="0">
      <pane xSplit="4" ySplit="1" topLeftCell="H2" activePane="bottomRight" state="frozen"/>
      <selection pane="topRight" activeCell="E1" sqref="E1"/>
      <selection pane="bottomLeft" activeCell="A2" sqref="A2"/>
      <selection pane="bottomRight" activeCell="D1" sqref="D1"/>
    </sheetView>
  </sheetViews>
  <sheetFormatPr baseColWidth="10" defaultColWidth="11.85546875" defaultRowHeight="15" x14ac:dyDescent="0.2"/>
  <cols>
    <col min="1" max="1" width="21.85546875" style="214" customWidth="1"/>
    <col min="2" max="2" width="24.5703125" style="213" customWidth="1"/>
    <col min="3" max="3" width="15.42578125" style="214" customWidth="1"/>
    <col min="4" max="4" width="19.5703125" style="213" customWidth="1"/>
    <col min="5" max="5" width="93.42578125" style="378" hidden="1" customWidth="1"/>
    <col min="6" max="7" width="43.140625" style="214" hidden="1" customWidth="1"/>
    <col min="8" max="8" width="90.5703125" style="214" customWidth="1"/>
    <col min="9" max="9" width="66.5703125" style="680" customWidth="1"/>
    <col min="10" max="10" width="41.42578125" style="676" customWidth="1"/>
    <col min="11" max="11" width="20.85546875" style="213" bestFit="1" customWidth="1"/>
    <col min="12" max="16384" width="11.85546875" style="213"/>
  </cols>
  <sheetData>
    <row r="1" spans="1:10" ht="40.5" customHeight="1" x14ac:dyDescent="0.2">
      <c r="A1" s="211" t="s">
        <v>104</v>
      </c>
      <c r="B1" s="211" t="s">
        <v>105</v>
      </c>
      <c r="C1" s="212" t="s">
        <v>106</v>
      </c>
      <c r="D1" s="212" t="s">
        <v>107</v>
      </c>
      <c r="E1" s="211" t="s">
        <v>408</v>
      </c>
      <c r="F1" s="212" t="s">
        <v>409</v>
      </c>
      <c r="G1" s="211" t="s">
        <v>410</v>
      </c>
      <c r="H1" s="211" t="s">
        <v>411</v>
      </c>
      <c r="I1" s="677" t="s">
        <v>406</v>
      </c>
      <c r="J1" s="673" t="s">
        <v>607</v>
      </c>
    </row>
    <row r="2" spans="1:10" ht="91.5" customHeight="1" x14ac:dyDescent="0.2">
      <c r="A2" s="878" t="s">
        <v>108</v>
      </c>
      <c r="B2" s="878" t="s">
        <v>109</v>
      </c>
      <c r="C2" s="878" t="s">
        <v>88</v>
      </c>
      <c r="D2" s="878" t="s">
        <v>89</v>
      </c>
      <c r="E2" s="877" t="s">
        <v>412</v>
      </c>
      <c r="F2" s="878" t="s">
        <v>413</v>
      </c>
      <c r="G2" s="878" t="s">
        <v>1262</v>
      </c>
      <c r="H2" s="364" t="s">
        <v>414</v>
      </c>
      <c r="I2" s="877" t="str">
        <f>'P1'!B49</f>
        <v>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v>
      </c>
      <c r="J2" s="872">
        <f>'P1'!Y8</f>
        <v>70744263715.696716</v>
      </c>
    </row>
    <row r="3" spans="1:10" ht="90.75" customHeight="1" x14ac:dyDescent="0.2">
      <c r="A3" s="878"/>
      <c r="B3" s="878"/>
      <c r="C3" s="878"/>
      <c r="D3" s="878"/>
      <c r="E3" s="877"/>
      <c r="F3" s="878"/>
      <c r="G3" s="878"/>
      <c r="H3" s="364" t="s">
        <v>415</v>
      </c>
      <c r="I3" s="877">
        <v>0</v>
      </c>
      <c r="J3" s="872"/>
    </row>
    <row r="4" spans="1:10" ht="77.25" customHeight="1" x14ac:dyDescent="0.2">
      <c r="A4" s="878"/>
      <c r="B4" s="878"/>
      <c r="C4" s="878"/>
      <c r="D4" s="878"/>
      <c r="E4" s="877"/>
      <c r="F4" s="878"/>
      <c r="G4" s="878"/>
      <c r="H4" s="364" t="s">
        <v>416</v>
      </c>
      <c r="I4" s="877">
        <v>0</v>
      </c>
      <c r="J4" s="872"/>
    </row>
    <row r="5" spans="1:10" ht="111.75" customHeight="1" x14ac:dyDescent="0.2">
      <c r="A5" s="878"/>
      <c r="B5" s="878"/>
      <c r="C5" s="878"/>
      <c r="D5" s="878"/>
      <c r="E5" s="877"/>
      <c r="F5" s="878"/>
      <c r="G5" s="878"/>
      <c r="H5" s="364" t="s">
        <v>417</v>
      </c>
      <c r="I5" s="877">
        <v>0</v>
      </c>
      <c r="J5" s="872"/>
    </row>
    <row r="6" spans="1:10" ht="108" customHeight="1" x14ac:dyDescent="0.2">
      <c r="A6" s="878"/>
      <c r="B6" s="878"/>
      <c r="C6" s="878"/>
      <c r="D6" s="878"/>
      <c r="E6" s="877"/>
      <c r="F6" s="878"/>
      <c r="G6" s="878"/>
      <c r="H6" s="364" t="s">
        <v>418</v>
      </c>
      <c r="I6" s="877">
        <v>0</v>
      </c>
      <c r="J6" s="872"/>
    </row>
    <row r="7" spans="1:10" ht="99.75" customHeight="1" x14ac:dyDescent="0.2">
      <c r="A7" s="878"/>
      <c r="B7" s="878"/>
      <c r="C7" s="878"/>
      <c r="D7" s="878"/>
      <c r="E7" s="877"/>
      <c r="F7" s="878"/>
      <c r="G7" s="878"/>
      <c r="H7" s="661" t="s">
        <v>1261</v>
      </c>
      <c r="I7" s="877">
        <v>0</v>
      </c>
      <c r="J7" s="872"/>
    </row>
    <row r="8" spans="1:10" ht="90" customHeight="1" x14ac:dyDescent="0.2">
      <c r="A8" s="878" t="s">
        <v>108</v>
      </c>
      <c r="B8" s="878" t="s">
        <v>109</v>
      </c>
      <c r="C8" s="878" t="s">
        <v>88</v>
      </c>
      <c r="D8" s="878" t="s">
        <v>419</v>
      </c>
      <c r="E8" s="877" t="s">
        <v>420</v>
      </c>
      <c r="F8" s="878" t="s">
        <v>421</v>
      </c>
      <c r="G8" s="878" t="s">
        <v>422</v>
      </c>
      <c r="H8" s="364" t="s">
        <v>423</v>
      </c>
      <c r="I8" s="877" t="str">
        <f>'P1'!B49</f>
        <v>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v>
      </c>
      <c r="J8" s="872">
        <f>'P1'!Y9</f>
        <v>51138546939.287483</v>
      </c>
    </row>
    <row r="9" spans="1:10" ht="74.25" customHeight="1" x14ac:dyDescent="0.2">
      <c r="A9" s="878"/>
      <c r="B9" s="878"/>
      <c r="C9" s="878"/>
      <c r="D9" s="878"/>
      <c r="E9" s="877"/>
      <c r="F9" s="878"/>
      <c r="G9" s="878"/>
      <c r="H9" s="364" t="s">
        <v>424</v>
      </c>
      <c r="I9" s="877">
        <v>0</v>
      </c>
      <c r="J9" s="872"/>
    </row>
    <row r="10" spans="1:10" ht="123" customHeight="1" x14ac:dyDescent="0.2">
      <c r="A10" s="878"/>
      <c r="B10" s="878"/>
      <c r="C10" s="878"/>
      <c r="D10" s="878"/>
      <c r="E10" s="877"/>
      <c r="F10" s="878"/>
      <c r="G10" s="878"/>
      <c r="H10" s="364" t="s">
        <v>425</v>
      </c>
      <c r="I10" s="877">
        <v>0</v>
      </c>
      <c r="J10" s="872"/>
    </row>
    <row r="11" spans="1:10" ht="78" customHeight="1" x14ac:dyDescent="0.2">
      <c r="A11" s="878"/>
      <c r="B11" s="878"/>
      <c r="C11" s="878"/>
      <c r="D11" s="878"/>
      <c r="E11" s="877"/>
      <c r="F11" s="878"/>
      <c r="G11" s="878"/>
      <c r="H11" s="364" t="s">
        <v>426</v>
      </c>
      <c r="I11" s="877">
        <v>0</v>
      </c>
      <c r="J11" s="872"/>
    </row>
    <row r="12" spans="1:10" ht="63" customHeight="1" x14ac:dyDescent="0.2">
      <c r="A12" s="878"/>
      <c r="B12" s="878"/>
      <c r="C12" s="878"/>
      <c r="D12" s="878"/>
      <c r="E12" s="877"/>
      <c r="F12" s="878"/>
      <c r="G12" s="878"/>
      <c r="H12" s="364" t="s">
        <v>427</v>
      </c>
      <c r="I12" s="877">
        <v>0</v>
      </c>
      <c r="J12" s="872"/>
    </row>
    <row r="13" spans="1:10" ht="102" customHeight="1" x14ac:dyDescent="0.2">
      <c r="A13" s="878"/>
      <c r="B13" s="878"/>
      <c r="C13" s="878"/>
      <c r="D13" s="878"/>
      <c r="E13" s="877"/>
      <c r="F13" s="878"/>
      <c r="G13" s="878"/>
      <c r="H13" s="364" t="s">
        <v>428</v>
      </c>
      <c r="I13" s="877">
        <v>0</v>
      </c>
      <c r="J13" s="872"/>
    </row>
    <row r="14" spans="1:10" s="665" customFormat="1" ht="48" customHeight="1" x14ac:dyDescent="0.2">
      <c r="A14" s="874" t="s">
        <v>108</v>
      </c>
      <c r="B14" s="874" t="s">
        <v>308</v>
      </c>
      <c r="C14" s="874" t="s">
        <v>110</v>
      </c>
      <c r="D14" s="874" t="s">
        <v>1263</v>
      </c>
      <c r="E14" s="871" t="s">
        <v>1264</v>
      </c>
      <c r="F14" s="874" t="s">
        <v>1265</v>
      </c>
      <c r="G14" s="874" t="s">
        <v>1266</v>
      </c>
      <c r="H14" s="664" t="s">
        <v>1267</v>
      </c>
      <c r="I14" s="871" t="str">
        <f>'P2'!B52</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estima un incentivo a la unidad productiva basados en proveer insumos para sembrar una hectárea de maíz tradicional de manera óptima, que es un valor de $1.610.000 por familia, se estima intervenir al 30% de las familias durante le desarrollo del plan. Se estima un equipo humano a nivel nacional y en región, de 4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v>
      </c>
      <c r="J14" s="872">
        <f>'P2'!Y8</f>
        <v>82225694130.594788</v>
      </c>
    </row>
    <row r="15" spans="1:10" s="665" customFormat="1" ht="66.75" customHeight="1" x14ac:dyDescent="0.2">
      <c r="A15" s="874"/>
      <c r="B15" s="874"/>
      <c r="C15" s="874"/>
      <c r="D15" s="874"/>
      <c r="E15" s="871"/>
      <c r="F15" s="874"/>
      <c r="G15" s="874"/>
      <c r="H15" s="664" t="s">
        <v>1268</v>
      </c>
      <c r="I15" s="871"/>
      <c r="J15" s="872"/>
    </row>
    <row r="16" spans="1:10" s="665" customFormat="1" ht="92.25" customHeight="1" x14ac:dyDescent="0.2">
      <c r="A16" s="874"/>
      <c r="B16" s="874"/>
      <c r="C16" s="874"/>
      <c r="D16" s="874"/>
      <c r="E16" s="871"/>
      <c r="F16" s="874"/>
      <c r="G16" s="874"/>
      <c r="H16" s="664" t="s">
        <v>1269</v>
      </c>
      <c r="I16" s="871"/>
      <c r="J16" s="872"/>
    </row>
    <row r="17" spans="1:10" s="665" customFormat="1" ht="78" customHeight="1" x14ac:dyDescent="0.2">
      <c r="A17" s="874"/>
      <c r="B17" s="874"/>
      <c r="C17" s="874"/>
      <c r="D17" s="874"/>
      <c r="E17" s="871"/>
      <c r="F17" s="874"/>
      <c r="G17" s="874"/>
      <c r="H17" s="664" t="s">
        <v>1270</v>
      </c>
      <c r="I17" s="871"/>
      <c r="J17" s="872"/>
    </row>
    <row r="18" spans="1:10" s="665" customFormat="1" ht="47.25" customHeight="1" x14ac:dyDescent="0.2">
      <c r="A18" s="874"/>
      <c r="B18" s="874"/>
      <c r="C18" s="874"/>
      <c r="D18" s="874"/>
      <c r="E18" s="871"/>
      <c r="F18" s="874"/>
      <c r="G18" s="874"/>
      <c r="H18" s="664" t="s">
        <v>1271</v>
      </c>
      <c r="I18" s="871"/>
      <c r="J18" s="872"/>
    </row>
    <row r="19" spans="1:10" s="665" customFormat="1" ht="76.5" customHeight="1" x14ac:dyDescent="0.2">
      <c r="A19" s="874"/>
      <c r="B19" s="874"/>
      <c r="C19" s="874"/>
      <c r="D19" s="874"/>
      <c r="E19" s="871"/>
      <c r="F19" s="874"/>
      <c r="G19" s="874"/>
      <c r="H19" s="664" t="s">
        <v>1272</v>
      </c>
      <c r="I19" s="871"/>
      <c r="J19" s="872"/>
    </row>
    <row r="20" spans="1:10" s="665" customFormat="1" ht="51.75" customHeight="1" x14ac:dyDescent="0.2">
      <c r="A20" s="874"/>
      <c r="B20" s="874"/>
      <c r="C20" s="874"/>
      <c r="D20" s="874"/>
      <c r="E20" s="871"/>
      <c r="F20" s="874"/>
      <c r="G20" s="874"/>
      <c r="H20" s="664" t="s">
        <v>1273</v>
      </c>
      <c r="I20" s="871"/>
      <c r="J20" s="872"/>
    </row>
    <row r="21" spans="1:10" s="665" customFormat="1" ht="111" customHeight="1" x14ac:dyDescent="0.2">
      <c r="A21" s="874" t="s">
        <v>108</v>
      </c>
      <c r="B21" s="874" t="s">
        <v>308</v>
      </c>
      <c r="C21" s="874" t="s">
        <v>110</v>
      </c>
      <c r="D21" s="874" t="s">
        <v>1274</v>
      </c>
      <c r="E21" s="871" t="s">
        <v>429</v>
      </c>
      <c r="F21" s="874" t="s">
        <v>430</v>
      </c>
      <c r="G21" s="874" t="s">
        <v>431</v>
      </c>
      <c r="H21" s="664" t="s">
        <v>1275</v>
      </c>
      <c r="I21" s="871" t="str">
        <f>'P2'!B95</f>
        <v xml:space="preserve">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proponen incentivos para la aplicación de cal por has sembrada y para adquirir maquinaria, los cuales se calculan de acuerdo al supuesto de gradualidad en el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propone crear un incentivo a la adecuación química de suelos, a través de  la aplicación de 5 t/h de Cal dolomita, con un costo de $150.000 por tonelada; se sugiere la asignación de un ICR del 20% durante los 10 primeros años,  ya que es una inversión de lento retorno, a partir del año 12 y hasta el 20 se propone una línea especial de crédito, que subsidie el 7.5% del interés del valor del crédito.  Para modernizar la maquinaria, se tienen en cuenta kits maquinaria para atender 400 has de capacidad, cuyo costo por kit es de $2.570.750 según estudio realizado en la iniciativa soya maíz  proyecto maíz del 2021, se propone asignar recursos de  de ICR de un 40% para asociaciones de productores y un ICR de 20% a otros productores, durante los años 2 a 11. Se estima que las hectáreas de las sociaciones de productores corresponden al 10% del área, del año 2 al 6, de 20% del área del año 7 al 11, del 30% del área del 12 al 17 y del 40% del área del año 18 al 20. Para los años 12 al 20, se sugiere asignar recursos de LEC para continuar apoyando la modernización de la maquinaria a asociaciones y a otros productores, la cual subsidia 7.5% puntos de la tasa de interés del costo de la maquinaria.
</v>
      </c>
      <c r="J21" s="872">
        <f>'P2'!Y9</f>
        <v>1300005814498.5</v>
      </c>
    </row>
    <row r="22" spans="1:10" s="665" customFormat="1" ht="100.5" customHeight="1" x14ac:dyDescent="0.2">
      <c r="A22" s="874"/>
      <c r="B22" s="874"/>
      <c r="C22" s="874"/>
      <c r="D22" s="874"/>
      <c r="E22" s="871"/>
      <c r="F22" s="874"/>
      <c r="G22" s="874"/>
      <c r="H22" s="664" t="s">
        <v>1276</v>
      </c>
      <c r="I22" s="871"/>
      <c r="J22" s="872"/>
    </row>
    <row r="23" spans="1:10" s="665" customFormat="1" ht="92.25" customHeight="1" x14ac:dyDescent="0.2">
      <c r="A23" s="874"/>
      <c r="B23" s="874"/>
      <c r="C23" s="874"/>
      <c r="D23" s="874"/>
      <c r="E23" s="871"/>
      <c r="F23" s="874"/>
      <c r="G23" s="874"/>
      <c r="H23" s="664" t="s">
        <v>1277</v>
      </c>
      <c r="I23" s="871"/>
      <c r="J23" s="872"/>
    </row>
    <row r="24" spans="1:10" s="665" customFormat="1" ht="128.25" customHeight="1" x14ac:dyDescent="0.2">
      <c r="A24" s="874"/>
      <c r="B24" s="874"/>
      <c r="C24" s="874"/>
      <c r="D24" s="874"/>
      <c r="E24" s="871"/>
      <c r="F24" s="874"/>
      <c r="G24" s="874"/>
      <c r="H24" s="664" t="s">
        <v>1278</v>
      </c>
      <c r="I24" s="871"/>
      <c r="J24" s="872"/>
    </row>
    <row r="25" spans="1:10" s="665" customFormat="1" ht="110.25" customHeight="1" x14ac:dyDescent="0.2">
      <c r="A25" s="874"/>
      <c r="B25" s="874"/>
      <c r="C25" s="874"/>
      <c r="D25" s="874"/>
      <c r="E25" s="871"/>
      <c r="F25" s="874"/>
      <c r="G25" s="874"/>
      <c r="H25" s="664" t="s">
        <v>1279</v>
      </c>
      <c r="I25" s="871"/>
      <c r="J25" s="872"/>
    </row>
    <row r="26" spans="1:10" s="665" customFormat="1" ht="106.5" customHeight="1" x14ac:dyDescent="0.2">
      <c r="A26" s="874"/>
      <c r="B26" s="874"/>
      <c r="C26" s="874"/>
      <c r="D26" s="874"/>
      <c r="E26" s="871"/>
      <c r="F26" s="874"/>
      <c r="G26" s="874"/>
      <c r="H26" s="664" t="s">
        <v>1280</v>
      </c>
      <c r="I26" s="871"/>
      <c r="J26" s="872"/>
    </row>
    <row r="27" spans="1:10" s="665" customFormat="1" ht="80.25" customHeight="1" x14ac:dyDescent="0.2">
      <c r="A27" s="874"/>
      <c r="B27" s="874"/>
      <c r="C27" s="874"/>
      <c r="D27" s="874"/>
      <c r="E27" s="871"/>
      <c r="F27" s="874"/>
      <c r="G27" s="874"/>
      <c r="H27" s="664" t="s">
        <v>1281</v>
      </c>
      <c r="I27" s="871"/>
      <c r="J27" s="872"/>
    </row>
    <row r="28" spans="1:10" s="665" customFormat="1" ht="55.5" customHeight="1" x14ac:dyDescent="0.2">
      <c r="A28" s="874" t="s">
        <v>309</v>
      </c>
      <c r="B28" s="874" t="s">
        <v>308</v>
      </c>
      <c r="C28" s="874" t="s">
        <v>110</v>
      </c>
      <c r="D28" s="874" t="s">
        <v>1282</v>
      </c>
      <c r="E28" s="871" t="s">
        <v>432</v>
      </c>
      <c r="F28" s="874" t="s">
        <v>433</v>
      </c>
      <c r="G28" s="874" t="s">
        <v>434</v>
      </c>
      <c r="H28" s="664" t="s">
        <v>1283</v>
      </c>
      <c r="I28" s="871" t="str">
        <f>'P2'!B117</f>
        <v>Se propone realizar una mesa de trabajo mensuales, talleres de carácter nacional cada 3 meses, se sugiere participar en 2 ferias comerciales internacionales para promover inversión. Se propone realizar 2 visitas a conocer en el terreno, las regiones con potencial para recibir las inversiones. Se sugiere contratar un equipo de consultor de 4 personas para  gestión, estructuración de proyectos y para brindar orientación y acompañamiento  a los empresarios e inversionistas, se incluyen los cálculos de desplazamientos a las regiones.</v>
      </c>
      <c r="J28" s="872">
        <f>'P2'!Y10</f>
        <v>7515731518</v>
      </c>
    </row>
    <row r="29" spans="1:10" s="665" customFormat="1" ht="57.75" customHeight="1" x14ac:dyDescent="0.2">
      <c r="A29" s="874"/>
      <c r="B29" s="874"/>
      <c r="C29" s="874"/>
      <c r="D29" s="874"/>
      <c r="E29" s="871"/>
      <c r="F29" s="874"/>
      <c r="G29" s="874"/>
      <c r="H29" s="664" t="s">
        <v>1284</v>
      </c>
      <c r="I29" s="871"/>
      <c r="J29" s="872"/>
    </row>
    <row r="30" spans="1:10" s="665" customFormat="1" ht="63.95" customHeight="1" x14ac:dyDescent="0.2">
      <c r="A30" s="874"/>
      <c r="B30" s="874"/>
      <c r="C30" s="874"/>
      <c r="D30" s="874"/>
      <c r="E30" s="871"/>
      <c r="F30" s="874"/>
      <c r="G30" s="874"/>
      <c r="H30" s="664" t="s">
        <v>1285</v>
      </c>
      <c r="I30" s="871"/>
      <c r="J30" s="872"/>
    </row>
    <row r="31" spans="1:10" s="665" customFormat="1" ht="110.25" customHeight="1" x14ac:dyDescent="0.2">
      <c r="A31" s="874"/>
      <c r="B31" s="874"/>
      <c r="C31" s="874"/>
      <c r="D31" s="874"/>
      <c r="E31" s="871"/>
      <c r="F31" s="874"/>
      <c r="G31" s="874"/>
      <c r="H31" s="664" t="s">
        <v>1286</v>
      </c>
      <c r="I31" s="871"/>
      <c r="J31" s="872"/>
    </row>
    <row r="32" spans="1:10" s="665" customFormat="1" ht="96" customHeight="1" x14ac:dyDescent="0.2">
      <c r="A32" s="874"/>
      <c r="B32" s="874"/>
      <c r="C32" s="874"/>
      <c r="D32" s="874"/>
      <c r="E32" s="871"/>
      <c r="F32" s="874"/>
      <c r="G32" s="874"/>
      <c r="H32" s="664" t="s">
        <v>1287</v>
      </c>
      <c r="I32" s="871"/>
      <c r="J32" s="872"/>
    </row>
    <row r="33" spans="1:10" s="665" customFormat="1" ht="72" customHeight="1" x14ac:dyDescent="0.2">
      <c r="A33" s="874"/>
      <c r="B33" s="874"/>
      <c r="C33" s="874"/>
      <c r="D33" s="874"/>
      <c r="E33" s="871"/>
      <c r="F33" s="874"/>
      <c r="G33" s="874"/>
      <c r="H33" s="664" t="s">
        <v>1288</v>
      </c>
      <c r="I33" s="871"/>
      <c r="J33" s="872"/>
    </row>
    <row r="34" spans="1:10" s="665" customFormat="1" ht="72.75" customHeight="1" x14ac:dyDescent="0.2">
      <c r="A34" s="874"/>
      <c r="B34" s="874"/>
      <c r="C34" s="874"/>
      <c r="D34" s="874"/>
      <c r="E34" s="871"/>
      <c r="F34" s="874"/>
      <c r="G34" s="874"/>
      <c r="H34" s="664" t="s">
        <v>1289</v>
      </c>
      <c r="I34" s="871"/>
      <c r="J34" s="872"/>
    </row>
    <row r="35" spans="1:10" ht="90" customHeight="1" x14ac:dyDescent="0.2">
      <c r="A35" s="878" t="s">
        <v>108</v>
      </c>
      <c r="B35" s="878" t="s">
        <v>111</v>
      </c>
      <c r="C35" s="878" t="s">
        <v>112</v>
      </c>
      <c r="D35" s="878" t="s">
        <v>113</v>
      </c>
      <c r="E35" s="877" t="s">
        <v>435</v>
      </c>
      <c r="F35" s="878" t="s">
        <v>436</v>
      </c>
      <c r="G35" s="878" t="s">
        <v>437</v>
      </c>
      <c r="H35" s="364" t="s">
        <v>438</v>
      </c>
      <c r="I35" s="877" t="str">
        <f>'P3'!B41</f>
        <v>Se supone la intervención a 10 subregiones porque  tienen más del 30% en producción de maíz tecnificado. Las actividades de promoción y fortalecimiento se estiman durante los primeros 5 años. Se propone realizar 10 mesas de trabajo presenciales y 10 virtuales, una por subregión, para la selección de organizaciones priorizadas para el proyecto. Se propone realizar 2 talleres en cada subregión para capacitar y orientación a los productores en el desarrollo de empresas de economía solidaria. Se propone realizar una gira técnica desde cada subregión para conocer empresas cooperativas que operen exitosamente. Se sugiere complementar la capacitación con cursos cortos, presenciales y virtuales, a personas vinculadas con las organizaciones de economía solidaria en cada subregión. Se presupuesta  un equipo de dos personas y sus desplazamientos, con campo de operación nacional  especializados en las temáticas del desarrollo empresarial y alianzas estratégicas, para coordinar y realizar las actividades de capacitación y consultoría. Se estima un equipo humano de campo con  rodamientos y apoyos tecnológicos de operación subregional, para las actividades operativas, de coordinación y monitoreo del avance de los proyectos. A partir del año 6, para las empresas ya consolidades, se sugiere incentivos LEC  de 10%, para créditos de capitalización de $500.000.000 por empresa asociativa cada subregión.</v>
      </c>
      <c r="J35" s="872">
        <f>'P3'!Y7</f>
        <v>24061173910</v>
      </c>
    </row>
    <row r="36" spans="1:10" ht="72" customHeight="1" x14ac:dyDescent="0.2">
      <c r="A36" s="878" t="s">
        <v>439</v>
      </c>
      <c r="B36" s="878" t="s">
        <v>114</v>
      </c>
      <c r="C36" s="878"/>
      <c r="D36" s="878"/>
      <c r="E36" s="877"/>
      <c r="F36" s="878"/>
      <c r="G36" s="878"/>
      <c r="H36" s="364" t="s">
        <v>440</v>
      </c>
      <c r="I36" s="877"/>
      <c r="J36" s="872"/>
    </row>
    <row r="37" spans="1:10" ht="101.25" customHeight="1" x14ac:dyDescent="0.2">
      <c r="A37" s="878" t="s">
        <v>439</v>
      </c>
      <c r="B37" s="878" t="s">
        <v>114</v>
      </c>
      <c r="C37" s="878"/>
      <c r="D37" s="878"/>
      <c r="E37" s="877"/>
      <c r="F37" s="878"/>
      <c r="G37" s="878"/>
      <c r="H37" s="364" t="s">
        <v>441</v>
      </c>
      <c r="I37" s="877"/>
      <c r="J37" s="872"/>
    </row>
    <row r="38" spans="1:10" ht="64.5" customHeight="1" x14ac:dyDescent="0.2">
      <c r="A38" s="878" t="s">
        <v>439</v>
      </c>
      <c r="B38" s="878" t="s">
        <v>114</v>
      </c>
      <c r="C38" s="878"/>
      <c r="D38" s="878"/>
      <c r="E38" s="877"/>
      <c r="F38" s="878"/>
      <c r="G38" s="878"/>
      <c r="H38" s="364" t="s">
        <v>442</v>
      </c>
      <c r="I38" s="877"/>
      <c r="J38" s="872"/>
    </row>
    <row r="39" spans="1:10" ht="78.75" customHeight="1" x14ac:dyDescent="0.2">
      <c r="A39" s="878" t="s">
        <v>108</v>
      </c>
      <c r="B39" s="878" t="s">
        <v>114</v>
      </c>
      <c r="C39" s="878" t="s">
        <v>112</v>
      </c>
      <c r="D39" s="878" t="s">
        <v>115</v>
      </c>
      <c r="E39" s="877" t="s">
        <v>443</v>
      </c>
      <c r="F39" s="878" t="s">
        <v>444</v>
      </c>
      <c r="G39" s="878" t="s">
        <v>445</v>
      </c>
      <c r="H39" s="364" t="s">
        <v>446</v>
      </c>
      <c r="I39" s="877" t="str">
        <f>'P3'!B75</f>
        <v xml:space="preserve">Se supone la intervención a 10 subregiones porque  tienen más del 30% en producción de maíz tecnificado, que se agrupan en 4 macro regiones (Costa, Valle, Tolima y Llanos). Se proponen 10 mesas de trabajo presenciales, complementadas con 10 virtuales, una por subregión para promover las alianzas estratégicas entre los agentes de la cadena.  Cada semestre en la época de siembras y previo a cosecha se propone realizar talleres/eventos en las 4 regiones mayores,  para acompañar gestiones comerciales alrededor de las integraciones, alianzas y acuerdos entre productores comercializadores y procesadores. En las 4 macro regiones, se estiman cursos cortos, presenciales y virtuales de capacitación en gestión empresarial y planeación estratégica, uno por semestre en cada región mayor. Se estima patrocinar  la realización de diplomados presenciales y virtuales, en gerencia y administración de empresas a 5 lideres de esquemas empresariales en cada una de las 4 macro regiones. Una vez por semestre se realizan ruedas de negocio, presenciales y virtuales, para  la definición de contratos entre productores e industria y para evaluar el resultado de los contratos definidos el semestre anterior. Para promocionar estas actividades, se sugiere un plan de medios y  material promocional por subregión. Se considera un equipo de dos personas con un promedio de $8.963.563 con su desplazamiento con campo de operación nacional especializados en las temáticas del desarrollo empresarial y alianzas estratégicas, para coordinar y realizar las actividades de capacitación y consultoría en el desarrollo de las alianzas. Se estima un equipo humano de campo de operación subregional, una persona por subregión con rodamientos y apoyos tecnológicos, para las actividades operativas, de coordinación y monitoreo del avance de los proyectos, actividades compartidas con el proyecto 3.1. </v>
      </c>
      <c r="J39" s="872">
        <f>'P3'!Y8</f>
        <v>37997628165.5</v>
      </c>
    </row>
    <row r="40" spans="1:10" ht="124.5" customHeight="1" x14ac:dyDescent="0.2">
      <c r="A40" s="878" t="s">
        <v>439</v>
      </c>
      <c r="B40" s="878" t="s">
        <v>114</v>
      </c>
      <c r="C40" s="878"/>
      <c r="D40" s="878"/>
      <c r="E40" s="877"/>
      <c r="F40" s="878"/>
      <c r="G40" s="878"/>
      <c r="H40" s="364" t="s">
        <v>447</v>
      </c>
      <c r="I40" s="877"/>
      <c r="J40" s="872"/>
    </row>
    <row r="41" spans="1:10" ht="50.25" customHeight="1" x14ac:dyDescent="0.2">
      <c r="A41" s="878" t="s">
        <v>439</v>
      </c>
      <c r="B41" s="878" t="s">
        <v>114</v>
      </c>
      <c r="C41" s="878"/>
      <c r="D41" s="878"/>
      <c r="E41" s="877"/>
      <c r="F41" s="878"/>
      <c r="G41" s="878"/>
      <c r="H41" s="365" t="s">
        <v>448</v>
      </c>
      <c r="I41" s="877"/>
      <c r="J41" s="872"/>
    </row>
    <row r="42" spans="1:10" ht="90.75" customHeight="1" x14ac:dyDescent="0.2">
      <c r="A42" s="878" t="s">
        <v>108</v>
      </c>
      <c r="B42" s="878" t="s">
        <v>111</v>
      </c>
      <c r="C42" s="878" t="s">
        <v>112</v>
      </c>
      <c r="D42" s="878" t="s">
        <v>449</v>
      </c>
      <c r="E42" s="878" t="s">
        <v>450</v>
      </c>
      <c r="F42" s="878" t="s">
        <v>444</v>
      </c>
      <c r="G42" s="878" t="s">
        <v>451</v>
      </c>
      <c r="H42" s="364" t="s">
        <v>452</v>
      </c>
      <c r="I42" s="877" t="str">
        <f>'P3'!B106</f>
        <v>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parte de la meta de prospectiva de contar con 3.000.000 de toneladas de capacidad de secamiento y almacenamiento, que se va incrementando con  la misma tendencia que lo hace el área con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Por tano  entre el año 2 al 6 se estima haber llegado al 22% de la capacidad requerida, del año 7 al 12  alcanzar un 53% adicional, y del año 13 al 20 alcanzar el 26% restante,  para alcanzar el 100% durante el transcurso del plan. De esta cantidad se estima que el  10% sea para pequeños productores y el 40% para asociaciones de pequeños productores, a los  primero se les otroga un ICR del 30% y a los segundo se les otorgaría un ICR del 40% y para medianos productores un ICR del 20%;  la cantidad de capacidad instalada para medianos productores, se estimó en un 30%,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v>
      </c>
      <c r="J42" s="872">
        <f>'P3'!Y9</f>
        <v>2055072656746.0415</v>
      </c>
    </row>
    <row r="43" spans="1:10" ht="75.75" customHeight="1" x14ac:dyDescent="0.2">
      <c r="A43" s="878"/>
      <c r="B43" s="878"/>
      <c r="C43" s="878"/>
      <c r="D43" s="878"/>
      <c r="E43" s="878"/>
      <c r="F43" s="878"/>
      <c r="G43" s="878"/>
      <c r="H43" s="364" t="s">
        <v>453</v>
      </c>
      <c r="I43" s="877"/>
      <c r="J43" s="872"/>
    </row>
    <row r="44" spans="1:10" ht="79.5" customHeight="1" x14ac:dyDescent="0.2">
      <c r="A44" s="878"/>
      <c r="B44" s="878"/>
      <c r="C44" s="878"/>
      <c r="D44" s="878"/>
      <c r="E44" s="878"/>
      <c r="F44" s="878"/>
      <c r="G44" s="878"/>
      <c r="H44" s="364" t="s">
        <v>454</v>
      </c>
      <c r="I44" s="877"/>
      <c r="J44" s="872"/>
    </row>
    <row r="45" spans="1:10" ht="81.75" customHeight="1" x14ac:dyDescent="0.2">
      <c r="A45" s="878"/>
      <c r="B45" s="878"/>
      <c r="C45" s="878"/>
      <c r="D45" s="878"/>
      <c r="E45" s="878"/>
      <c r="F45" s="878"/>
      <c r="G45" s="878"/>
      <c r="H45" s="364" t="s">
        <v>455</v>
      </c>
      <c r="I45" s="877"/>
      <c r="J45" s="872"/>
    </row>
    <row r="46" spans="1:10" ht="60" customHeight="1" x14ac:dyDescent="0.2">
      <c r="A46" s="878"/>
      <c r="B46" s="878"/>
      <c r="C46" s="878"/>
      <c r="D46" s="878"/>
      <c r="E46" s="878"/>
      <c r="F46" s="878"/>
      <c r="G46" s="878"/>
      <c r="H46" s="365" t="s">
        <v>456</v>
      </c>
      <c r="I46" s="877"/>
      <c r="J46" s="872"/>
    </row>
    <row r="47" spans="1:10" ht="66.75" customHeight="1" x14ac:dyDescent="0.2">
      <c r="A47" s="879" t="s">
        <v>108</v>
      </c>
      <c r="B47" s="879" t="s">
        <v>111</v>
      </c>
      <c r="C47" s="879" t="s">
        <v>112</v>
      </c>
      <c r="D47" s="879" t="s">
        <v>310</v>
      </c>
      <c r="E47" s="876" t="s">
        <v>457</v>
      </c>
      <c r="F47" s="879" t="s">
        <v>458</v>
      </c>
      <c r="G47" s="879" t="s">
        <v>459</v>
      </c>
      <c r="H47" s="364" t="s">
        <v>460</v>
      </c>
      <c r="I47" s="876" t="str">
        <f>'P3'!B142</f>
        <v>Se supone la intervención a 10 subregiones porque  tienen más del 30% en producción de maíz tecnificado, que se agrupan en 4 macro regiones (Costa, Valle, Tolima y Llanos). Se estiman actividades de gestión desde el año 1 al 11. Se proponen mesas de trabajo presenciales y virtuales, realizadas cada semestre a nivel subregional se identifican y convocan a los agentes  que participan de la cadena de suministro de insumos, bienes y servicios para los productores. Se proponen  2 talleres anuales y 2 cursos cortos (presenciales y virtuales  en cada subregión, se capacita a productores y agroindustriales en la planificación y gestión de su cadena de suministros, la logística y tecnología involucrada y se estima dar acompañamiento e información sobre los instrumentos que tienen disponibles para el emprendimiento y la creación de empresas comerciales y de suministros de bienes y servicios para la producción. Se sugiere complementar la capacitación con diplomados en gestión de las cadenas de suministro, presenciales y virtuales para dos personas/año por subregión. Se realiza una Feria - Rueda de negocios, anual por subregión, presencial y virtual, como espacio para que oferentes de semillas, fertilizantes, fitosanitarios, agro biológicos, servicios operativos, servicios técnicos y tecnológicos, maquinaria, servicios logísticos, de mecanización, etc., se encuentren con los productores y agroindustriales, para la proyección y realización de negocios. Se considera un equipo humano de acción nacional de 2 personas, con sus desplazamientos, para liderar y coordinar las actividades de capacitación, divulgación y comerciales. Se supone un equipo humano de acción subregional, con rodamientos y apoyos tecnológicos para las actividades de coordinación, operativas, logísticas, personal que compare actividades con el proyecto 3.4. Las actividades de capacitación, talleres y eventos de divulgación se estima  implementarse  durante 5 años y las ferias - ruedas de negocio durante 20 años.</v>
      </c>
      <c r="J47" s="872">
        <f>'P3'!Y10</f>
        <v>30338487270.195988</v>
      </c>
    </row>
    <row r="48" spans="1:10" ht="62.25" customHeight="1" x14ac:dyDescent="0.2">
      <c r="A48" s="879"/>
      <c r="B48" s="879"/>
      <c r="C48" s="879"/>
      <c r="D48" s="879"/>
      <c r="E48" s="876"/>
      <c r="F48" s="879"/>
      <c r="G48" s="879"/>
      <c r="H48" s="364" t="s">
        <v>461</v>
      </c>
      <c r="I48" s="876"/>
      <c r="J48" s="872"/>
    </row>
    <row r="49" spans="1:11" ht="63.75" customHeight="1" x14ac:dyDescent="0.2">
      <c r="A49" s="879"/>
      <c r="B49" s="879"/>
      <c r="C49" s="879"/>
      <c r="D49" s="879"/>
      <c r="E49" s="876"/>
      <c r="F49" s="879"/>
      <c r="G49" s="879"/>
      <c r="H49" s="365" t="s">
        <v>1290</v>
      </c>
      <c r="I49" s="876"/>
      <c r="J49" s="872"/>
    </row>
    <row r="50" spans="1:11" ht="57" customHeight="1" x14ac:dyDescent="0.2">
      <c r="A50" s="879"/>
      <c r="B50" s="879"/>
      <c r="C50" s="879"/>
      <c r="D50" s="879"/>
      <c r="E50" s="876"/>
      <c r="F50" s="879"/>
      <c r="G50" s="879"/>
      <c r="H50" s="365" t="s">
        <v>462</v>
      </c>
      <c r="I50" s="876"/>
      <c r="J50" s="872"/>
    </row>
    <row r="51" spans="1:11" ht="69" customHeight="1" x14ac:dyDescent="0.2">
      <c r="A51" s="879"/>
      <c r="B51" s="879"/>
      <c r="C51" s="879"/>
      <c r="D51" s="879"/>
      <c r="E51" s="876"/>
      <c r="F51" s="879"/>
      <c r="G51" s="879"/>
      <c r="H51" s="365" t="s">
        <v>463</v>
      </c>
      <c r="I51" s="876"/>
      <c r="J51" s="872"/>
    </row>
    <row r="52" spans="1:11" ht="48.75" customHeight="1" x14ac:dyDescent="0.2">
      <c r="A52" s="879"/>
      <c r="B52" s="879"/>
      <c r="C52" s="879"/>
      <c r="D52" s="879"/>
      <c r="E52" s="876"/>
      <c r="F52" s="879"/>
      <c r="G52" s="879"/>
      <c r="H52" s="365" t="s">
        <v>464</v>
      </c>
      <c r="I52" s="876"/>
      <c r="J52" s="872"/>
    </row>
    <row r="53" spans="1:11" s="665" customFormat="1" ht="99.75" customHeight="1" x14ac:dyDescent="0.2">
      <c r="A53" s="879" t="s">
        <v>108</v>
      </c>
      <c r="B53" s="879" t="s">
        <v>111</v>
      </c>
      <c r="C53" s="879" t="s">
        <v>112</v>
      </c>
      <c r="D53" s="879" t="s">
        <v>311</v>
      </c>
      <c r="E53" s="876" t="s">
        <v>1291</v>
      </c>
      <c r="F53" s="879" t="s">
        <v>465</v>
      </c>
      <c r="G53" s="879" t="s">
        <v>1292</v>
      </c>
      <c r="H53" s="664" t="s">
        <v>466</v>
      </c>
      <c r="I53" s="876" t="str">
        <f>'P3'!B167</f>
        <v>Se propone realizar 6 mesas de trabajo presenciales y 6 virtuales en al año,  6 talleres virtuales y 6 presenciales. Se propone apoyar el desarrollo de la industria de la cal con el desarrollo de un incentivo para el emprendimiento a 2 empresas medianas en el año durante 5 años, por un valor de $39.597.850, el cual se calculó teniendo clasificación de empresas de acuerdo con el nivel de ingresos, a lo cual se calcula un % 3  y luego un 2% para medianas empresas. Se propone la contratación de 2 personas para brindar acompañamiento técnico a los empresarios en las diferentes actividades que se desarrollan en el marco de este proyecto, con un promedio mensual de $9.907.096 y se calculan  desplazamientos a las regiones.</v>
      </c>
      <c r="J53" s="872">
        <f>'P3'!Y11</f>
        <v>10740529210.194</v>
      </c>
    </row>
    <row r="54" spans="1:11" s="665" customFormat="1" ht="66" customHeight="1" x14ac:dyDescent="0.2">
      <c r="A54" s="879"/>
      <c r="B54" s="879"/>
      <c r="C54" s="879"/>
      <c r="D54" s="879"/>
      <c r="E54" s="876"/>
      <c r="F54" s="879"/>
      <c r="G54" s="879"/>
      <c r="H54" s="664" t="s">
        <v>467</v>
      </c>
      <c r="I54" s="876"/>
      <c r="J54" s="872"/>
    </row>
    <row r="55" spans="1:11" s="665" customFormat="1" ht="70.5" customHeight="1" x14ac:dyDescent="0.2">
      <c r="A55" s="879"/>
      <c r="B55" s="879"/>
      <c r="C55" s="879"/>
      <c r="D55" s="879"/>
      <c r="E55" s="876"/>
      <c r="F55" s="879"/>
      <c r="G55" s="879"/>
      <c r="H55" s="664" t="s">
        <v>468</v>
      </c>
      <c r="I55" s="876"/>
      <c r="J55" s="872"/>
    </row>
    <row r="56" spans="1:11" s="665" customFormat="1" ht="75" customHeight="1" x14ac:dyDescent="0.2">
      <c r="A56" s="879"/>
      <c r="B56" s="879"/>
      <c r="C56" s="879"/>
      <c r="D56" s="879"/>
      <c r="E56" s="876"/>
      <c r="F56" s="879"/>
      <c r="G56" s="879"/>
      <c r="H56" s="664" t="s">
        <v>469</v>
      </c>
      <c r="I56" s="876"/>
      <c r="J56" s="872"/>
    </row>
    <row r="57" spans="1:11" s="665" customFormat="1" ht="75" customHeight="1" x14ac:dyDescent="0.2">
      <c r="A57" s="879"/>
      <c r="B57" s="879"/>
      <c r="C57" s="879"/>
      <c r="D57" s="879"/>
      <c r="E57" s="876"/>
      <c r="F57" s="879"/>
      <c r="G57" s="879"/>
      <c r="H57" s="664" t="s">
        <v>1293</v>
      </c>
      <c r="I57" s="876"/>
      <c r="J57" s="872"/>
    </row>
    <row r="58" spans="1:11" s="665" customFormat="1" ht="48" customHeight="1" x14ac:dyDescent="0.2">
      <c r="A58" s="879"/>
      <c r="B58" s="879"/>
      <c r="C58" s="879"/>
      <c r="D58" s="879"/>
      <c r="E58" s="876"/>
      <c r="F58" s="879"/>
      <c r="G58" s="879"/>
      <c r="H58" s="664" t="s">
        <v>1294</v>
      </c>
      <c r="I58" s="876"/>
      <c r="J58" s="872"/>
    </row>
    <row r="59" spans="1:11" s="665" customFormat="1" ht="53.25" customHeight="1" x14ac:dyDescent="0.2">
      <c r="A59" s="879"/>
      <c r="B59" s="879"/>
      <c r="C59" s="879"/>
      <c r="D59" s="879"/>
      <c r="E59" s="876"/>
      <c r="F59" s="879"/>
      <c r="G59" s="879"/>
      <c r="H59" s="664" t="s">
        <v>1295</v>
      </c>
      <c r="I59" s="876"/>
      <c r="J59" s="872"/>
    </row>
    <row r="60" spans="1:11" ht="64.5" customHeight="1" x14ac:dyDescent="0.2">
      <c r="A60" s="879" t="s">
        <v>116</v>
      </c>
      <c r="B60" s="879" t="s">
        <v>117</v>
      </c>
      <c r="C60" s="879" t="s">
        <v>118</v>
      </c>
      <c r="D60" s="879" t="s">
        <v>119</v>
      </c>
      <c r="E60" s="879" t="s">
        <v>470</v>
      </c>
      <c r="F60" s="879" t="s">
        <v>471</v>
      </c>
      <c r="G60" s="879" t="s">
        <v>472</v>
      </c>
      <c r="H60" s="365" t="s">
        <v>473</v>
      </c>
      <c r="I60" s="876" t="str">
        <f>'P4'!B35</f>
        <v xml:space="preserve">Se consideran 7 departamentos (Chocó, Meta, Caquetá, Nariño, Cauca,  Boyacá y Córdoba) con áreas de producción de maíz ubicadas fuera de la frontera agrícola. Se estiman 28 mesas de trabajo presencial y virtual (4 por departamento), 7 talleres y/o eventos de divulgación regionales presenciales (1 por departamento), eventos de divulgación virtuales (3 por departamento). Se estima un equipo humano en región de 7 personas, con rodamiento (peajes y combustible) y apoyos tecnológicos (GPS y Tablet); y se considera "Por definir" otras formas de contribución. </v>
      </c>
      <c r="J60" s="872">
        <f>'P4'!Y8</f>
        <v>3089539635</v>
      </c>
      <c r="K60" s="665"/>
    </row>
    <row r="61" spans="1:11" ht="80.25" customHeight="1" x14ac:dyDescent="0.2">
      <c r="A61" s="879"/>
      <c r="B61" s="879"/>
      <c r="C61" s="879"/>
      <c r="D61" s="879"/>
      <c r="E61" s="879"/>
      <c r="F61" s="879"/>
      <c r="G61" s="879"/>
      <c r="H61" s="365" t="s">
        <v>474</v>
      </c>
      <c r="I61" s="876"/>
      <c r="J61" s="872"/>
      <c r="K61" s="665"/>
    </row>
    <row r="62" spans="1:11" ht="96.75" customHeight="1" x14ac:dyDescent="0.2">
      <c r="A62" s="879"/>
      <c r="B62" s="879"/>
      <c r="C62" s="879"/>
      <c r="D62" s="879"/>
      <c r="E62" s="879"/>
      <c r="F62" s="879"/>
      <c r="G62" s="879"/>
      <c r="H62" s="365" t="s">
        <v>475</v>
      </c>
      <c r="I62" s="876"/>
      <c r="J62" s="872"/>
      <c r="K62" s="665"/>
    </row>
    <row r="63" spans="1:11" ht="111.75" customHeight="1" x14ac:dyDescent="0.2">
      <c r="A63" s="878" t="s">
        <v>116</v>
      </c>
      <c r="B63" s="878" t="s">
        <v>117</v>
      </c>
      <c r="C63" s="878" t="s">
        <v>118</v>
      </c>
      <c r="D63" s="878" t="s">
        <v>120</v>
      </c>
      <c r="E63" s="878" t="s">
        <v>476</v>
      </c>
      <c r="F63" s="878" t="s">
        <v>477</v>
      </c>
      <c r="G63" s="878" t="s">
        <v>478</v>
      </c>
      <c r="H63" s="365" t="s">
        <v>479</v>
      </c>
      <c r="I63" s="877" t="str">
        <f>'P4'!B75</f>
        <v>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anual del valor del crédito como subsisido a tasa de interés (LEC) por adecuación de tierras para uso agropecuario. Las hectáreas a apoyar corresponden a un  30% de las áreas estimadas a incrementar durante la ejecución del plan (950.000), es decir 285.000 , la gradualidad en las hectáreas se estimó asi: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estima un valor por hectárea de $1.500.000 que es un supeusto técnico para la inversión en labores mecanización y encalamiento para adecuar tierras para el cultivo.  Por su parte para las soluciones individuales de riego, se estimó hectáreas a apoyar corresponden a un  5% de las áreas estimadas a incrementar durante la ejecución del plan (950.000), es decir 47.500  de los cuales se estimpo un 50% para pequeños y asociativos y un 30% para medianos, se considero un 20% para grandes; se sugiere un ICR de 40% para pequeños y pequelos asociativos y del 20% para medianos y a los grandes no les asigna incentivos. La gradualidad en las hectáreas se estimó asi: entre el año 2 al 6 se estima haber llegado al 15% del área proyectada (es decir cada año se alcanza un 3% de la meta), al año 16 haber alcanzado el 80% (cada año se alcanza un 6.5% de la meta)  y al año 20  (cada año se alcanza un 5%) para lograr el 100% . El  supuesto técnico estimado para el valor de las soluciones individuales de riego es de $7.994.184/ha (USD 2.150 a una tasa de cambio de $3.718); que corresponde a un sistema de riego por pivote que incluye equipos, y no incluye mano de obra, ni infraestructura para captación de aguas. Se considera "Por definir" Otros tipos de captación, almacenamiento y aprovechamiento de agua, y otras formas de promoción.</v>
      </c>
      <c r="J63" s="872">
        <f>'P4'!Y9</f>
        <v>114474248098.25002</v>
      </c>
      <c r="K63" s="665"/>
    </row>
    <row r="64" spans="1:11" ht="64.5" customHeight="1" x14ac:dyDescent="0.2">
      <c r="A64" s="878"/>
      <c r="B64" s="878"/>
      <c r="C64" s="878"/>
      <c r="D64" s="878"/>
      <c r="E64" s="878"/>
      <c r="F64" s="878"/>
      <c r="G64" s="878"/>
      <c r="H64" s="365" t="s">
        <v>480</v>
      </c>
      <c r="I64" s="877"/>
      <c r="J64" s="872"/>
      <c r="K64" s="665"/>
    </row>
    <row r="65" spans="1:11" ht="65.25" customHeight="1" x14ac:dyDescent="0.2">
      <c r="A65" s="878"/>
      <c r="B65" s="878"/>
      <c r="C65" s="878"/>
      <c r="D65" s="878"/>
      <c r="E65" s="878"/>
      <c r="F65" s="878"/>
      <c r="G65" s="878"/>
      <c r="H65" s="365" t="s">
        <v>481</v>
      </c>
      <c r="I65" s="877"/>
      <c r="J65" s="872"/>
      <c r="K65" s="665"/>
    </row>
    <row r="66" spans="1:11" ht="85.5" customHeight="1" x14ac:dyDescent="0.2">
      <c r="A66" s="878"/>
      <c r="B66" s="878"/>
      <c r="C66" s="878"/>
      <c r="D66" s="878"/>
      <c r="E66" s="878"/>
      <c r="F66" s="878"/>
      <c r="G66" s="878"/>
      <c r="H66" s="365" t="s">
        <v>482</v>
      </c>
      <c r="I66" s="877"/>
      <c r="J66" s="872"/>
      <c r="K66" s="665"/>
    </row>
    <row r="67" spans="1:11" ht="84" customHeight="1" x14ac:dyDescent="0.2">
      <c r="A67" s="878"/>
      <c r="B67" s="878"/>
      <c r="C67" s="878"/>
      <c r="D67" s="878"/>
      <c r="E67" s="878"/>
      <c r="F67" s="878"/>
      <c r="G67" s="878"/>
      <c r="H67" s="365" t="s">
        <v>483</v>
      </c>
      <c r="I67" s="877"/>
      <c r="J67" s="872"/>
    </row>
    <row r="68" spans="1:11" ht="63" customHeight="1" x14ac:dyDescent="0.2">
      <c r="A68" s="878"/>
      <c r="B68" s="878"/>
      <c r="C68" s="878"/>
      <c r="D68" s="878"/>
      <c r="E68" s="878"/>
      <c r="F68" s="878"/>
      <c r="G68" s="878"/>
      <c r="H68" s="365" t="s">
        <v>484</v>
      </c>
      <c r="I68" s="877"/>
      <c r="J68" s="872"/>
    </row>
    <row r="69" spans="1:11" ht="69.75" customHeight="1" x14ac:dyDescent="0.2">
      <c r="A69" s="878"/>
      <c r="B69" s="878"/>
      <c r="C69" s="878"/>
      <c r="D69" s="878"/>
      <c r="E69" s="878"/>
      <c r="F69" s="878"/>
      <c r="G69" s="878"/>
      <c r="H69" s="364" t="s">
        <v>485</v>
      </c>
      <c r="I69" s="877"/>
      <c r="J69" s="872"/>
    </row>
    <row r="70" spans="1:11" ht="59.25" customHeight="1" x14ac:dyDescent="0.2">
      <c r="A70" s="878" t="s">
        <v>116</v>
      </c>
      <c r="B70" s="878" t="s">
        <v>121</v>
      </c>
      <c r="C70" s="878" t="s">
        <v>1377</v>
      </c>
      <c r="D70" s="878" t="s">
        <v>122</v>
      </c>
      <c r="E70" s="878" t="s">
        <v>486</v>
      </c>
      <c r="F70" s="878" t="s">
        <v>487</v>
      </c>
      <c r="G70" s="878" t="s">
        <v>1296</v>
      </c>
      <c r="H70" s="365" t="s">
        <v>488</v>
      </c>
      <c r="I70" s="877" t="str">
        <f>'P5'!B48</f>
        <v xml:space="preserve">Se estiman 25 mesas de trabajo (4 presenciales y 19 virtuales), 4 talleres y/o eventos de divulgación nacionales, talleres y/o eventos de divulgación regionales (7 presenciales, 1 en cada región y 19 virtuales, 1 en cada subregión), Escuelas, días de campo, giras técnicas,  y/ o visitas y  parcelas demostrativas (1 en cada subregión). Se estiman diplomados presenciales (1 en cada una de las 7 regiones) y virtuales (1 en cada una de las 19 subregiones); un equipo humano nacional de 2 personas, con viáticos y desplazamientos, y un equipo en región de 19 personas, con rodamiento (peajes y combustible) y apoyos tecnológicos (GPS y Tablet). Se propone un incentivo para inversiones en tecnologías y prácticas sostenibles para microempresas (7 por año, 1 en cada región), pequeñas empresas (7 por año, 1 en cada región) y medianas empresas (4 por año, 1 en cada región priorizada, correspondiente a las regiones que agrupan 10 de las 19 subregiones porque contienen más del 30% del área en producción de maíz en sistema tecnificado). Se considera "Por definir" otras formas de mejora. </v>
      </c>
      <c r="J70" s="872">
        <f>'P5'!Y8</f>
        <v>21593230348.063999</v>
      </c>
    </row>
    <row r="71" spans="1:11" ht="78" customHeight="1" x14ac:dyDescent="0.2">
      <c r="A71" s="878"/>
      <c r="B71" s="878"/>
      <c r="C71" s="878"/>
      <c r="D71" s="878"/>
      <c r="E71" s="878"/>
      <c r="F71" s="878"/>
      <c r="G71" s="878"/>
      <c r="H71" s="365" t="s">
        <v>489</v>
      </c>
      <c r="I71" s="877"/>
      <c r="J71" s="872"/>
    </row>
    <row r="72" spans="1:11" ht="50.25" customHeight="1" x14ac:dyDescent="0.2">
      <c r="A72" s="878"/>
      <c r="B72" s="878"/>
      <c r="C72" s="878"/>
      <c r="D72" s="878"/>
      <c r="E72" s="878"/>
      <c r="F72" s="878"/>
      <c r="G72" s="878"/>
      <c r="H72" s="365" t="s">
        <v>490</v>
      </c>
      <c r="I72" s="877"/>
      <c r="J72" s="872"/>
    </row>
    <row r="73" spans="1:11" ht="67.5" customHeight="1" x14ac:dyDescent="0.2">
      <c r="A73" s="878"/>
      <c r="B73" s="878"/>
      <c r="C73" s="878"/>
      <c r="D73" s="878"/>
      <c r="E73" s="878"/>
      <c r="F73" s="878"/>
      <c r="G73" s="878"/>
      <c r="H73" s="365" t="s">
        <v>491</v>
      </c>
      <c r="I73" s="877"/>
      <c r="J73" s="872"/>
    </row>
    <row r="74" spans="1:11" ht="48.75" customHeight="1" x14ac:dyDescent="0.2">
      <c r="A74" s="878"/>
      <c r="B74" s="878"/>
      <c r="C74" s="878"/>
      <c r="D74" s="878"/>
      <c r="E74" s="878"/>
      <c r="F74" s="878"/>
      <c r="G74" s="878"/>
      <c r="H74" s="365" t="s">
        <v>492</v>
      </c>
      <c r="I74" s="877"/>
      <c r="J74" s="872"/>
    </row>
    <row r="75" spans="1:11" ht="48.75" customHeight="1" x14ac:dyDescent="0.2">
      <c r="A75" s="878"/>
      <c r="B75" s="878"/>
      <c r="C75" s="878"/>
      <c r="D75" s="878"/>
      <c r="E75" s="878"/>
      <c r="F75" s="878"/>
      <c r="G75" s="878"/>
      <c r="H75" s="365" t="s">
        <v>493</v>
      </c>
      <c r="I75" s="877"/>
      <c r="J75" s="872"/>
    </row>
    <row r="76" spans="1:11" ht="57.75" customHeight="1" x14ac:dyDescent="0.2">
      <c r="A76" s="878"/>
      <c r="B76" s="878"/>
      <c r="C76" s="878"/>
      <c r="D76" s="878"/>
      <c r="E76" s="878"/>
      <c r="F76" s="878"/>
      <c r="G76" s="878"/>
      <c r="H76" s="663" t="s">
        <v>1297</v>
      </c>
      <c r="I76" s="877"/>
      <c r="J76" s="872"/>
    </row>
    <row r="77" spans="1:11" ht="60.75" customHeight="1" x14ac:dyDescent="0.2">
      <c r="A77" s="878" t="s">
        <v>123</v>
      </c>
      <c r="B77" s="878" t="s">
        <v>124</v>
      </c>
      <c r="C77" s="878" t="s">
        <v>125</v>
      </c>
      <c r="D77" s="878" t="s">
        <v>126</v>
      </c>
      <c r="E77" s="877" t="s">
        <v>494</v>
      </c>
      <c r="F77" s="878" t="s">
        <v>495</v>
      </c>
      <c r="G77" s="878" t="s">
        <v>496</v>
      </c>
      <c r="H77" s="364" t="s">
        <v>497</v>
      </c>
      <c r="I77" s="877" t="str">
        <f>'P6'!B47</f>
        <v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18 años, también se estimó un incentivo a las Tics por un valor de $300.000 que corresponde a la donación de una Tablet que se costea en $300.00 para el 30% de las familias durante 18 años, cada año se estima apoyar a 590 familias. También se estima un incentivo a la conectividad para apoyar el 30% de las familias durante los 18 años del proyecto, es decir 590 familias año por un valor de $600.000 el cual se calculó para pagar el servicio de internet por un año.  Se estima un valor material promocional de $10 millones por región.  Se estima un equipo humano a nivel nacional de 2 personas para que ejecute los proyectos 6.1 y 6.2 , con un valor promedio de $7.862.772 por diez meses, una persona por cada región con un valor promedio de $2.516.084 con su respectivo rodamiento por un período de 8 meses. </v>
      </c>
      <c r="J77" s="872">
        <f>'P6'!Y8</f>
        <v>64607271652</v>
      </c>
      <c r="K77" s="420"/>
    </row>
    <row r="78" spans="1:11" ht="66.75" customHeight="1" x14ac:dyDescent="0.2">
      <c r="A78" s="878"/>
      <c r="B78" s="878"/>
      <c r="C78" s="878"/>
      <c r="D78" s="878"/>
      <c r="E78" s="877"/>
      <c r="F78" s="878"/>
      <c r="G78" s="878"/>
      <c r="H78" s="364" t="s">
        <v>498</v>
      </c>
      <c r="I78" s="877"/>
      <c r="J78" s="872"/>
      <c r="K78" s="420"/>
    </row>
    <row r="79" spans="1:11" ht="78" customHeight="1" x14ac:dyDescent="0.2">
      <c r="A79" s="878"/>
      <c r="B79" s="878"/>
      <c r="C79" s="878"/>
      <c r="D79" s="878"/>
      <c r="E79" s="877"/>
      <c r="F79" s="878"/>
      <c r="G79" s="878"/>
      <c r="H79" s="364" t="s">
        <v>499</v>
      </c>
      <c r="I79" s="877"/>
      <c r="J79" s="872"/>
      <c r="K79" s="420"/>
    </row>
    <row r="80" spans="1:11" ht="79.5" customHeight="1" x14ac:dyDescent="0.2">
      <c r="A80" s="878"/>
      <c r="B80" s="878"/>
      <c r="C80" s="878"/>
      <c r="D80" s="878"/>
      <c r="E80" s="877"/>
      <c r="F80" s="878"/>
      <c r="G80" s="878"/>
      <c r="H80" s="364" t="s">
        <v>500</v>
      </c>
      <c r="I80" s="877"/>
      <c r="J80" s="872"/>
      <c r="K80" s="420"/>
    </row>
    <row r="81" spans="1:11" ht="77.25" customHeight="1" x14ac:dyDescent="0.2">
      <c r="A81" s="878"/>
      <c r="B81" s="878"/>
      <c r="C81" s="878"/>
      <c r="D81" s="878"/>
      <c r="E81" s="877"/>
      <c r="F81" s="878"/>
      <c r="G81" s="878"/>
      <c r="H81" s="364" t="s">
        <v>501</v>
      </c>
      <c r="I81" s="877"/>
      <c r="J81" s="872"/>
      <c r="K81" s="420"/>
    </row>
    <row r="82" spans="1:11" ht="75.75" customHeight="1" x14ac:dyDescent="0.2">
      <c r="A82" s="878" t="s">
        <v>123</v>
      </c>
      <c r="B82" s="878" t="s">
        <v>124</v>
      </c>
      <c r="C82" s="878" t="s">
        <v>125</v>
      </c>
      <c r="D82" s="878" t="s">
        <v>127</v>
      </c>
      <c r="E82" s="877" t="s">
        <v>502</v>
      </c>
      <c r="F82" s="878" t="s">
        <v>503</v>
      </c>
      <c r="G82" s="878" t="s">
        <v>504</v>
      </c>
      <c r="H82" s="364" t="s">
        <v>505</v>
      </c>
      <c r="I82" s="877" t="str">
        <f>'P6'!B75</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que ejecuten el proyecto 6.1 y 6.2 , de 2 personas con un valor promedio de $7.862.772 por diez meses, una persona por cada región con un valor promedio de $2.516.084 con su respectivo rodamiento por un período de 8 meses, que comparten actividades con el proyecto 6.2. Se considera por definir convenios y programas y otras formas de contribución.</v>
      </c>
      <c r="J82" s="872">
        <f>'P6'!Y9</f>
        <v>13629695772</v>
      </c>
    </row>
    <row r="83" spans="1:11" ht="63" customHeight="1" x14ac:dyDescent="0.2">
      <c r="A83" s="878"/>
      <c r="B83" s="878"/>
      <c r="C83" s="878"/>
      <c r="D83" s="878"/>
      <c r="E83" s="877"/>
      <c r="F83" s="878"/>
      <c r="G83" s="878"/>
      <c r="H83" s="365" t="s">
        <v>506</v>
      </c>
      <c r="I83" s="877"/>
      <c r="J83" s="872"/>
    </row>
    <row r="84" spans="1:11" ht="59.25" customHeight="1" x14ac:dyDescent="0.2">
      <c r="A84" s="878"/>
      <c r="B84" s="878"/>
      <c r="C84" s="878"/>
      <c r="D84" s="878"/>
      <c r="E84" s="877"/>
      <c r="F84" s="878"/>
      <c r="G84" s="878"/>
      <c r="H84" s="365" t="s">
        <v>507</v>
      </c>
      <c r="I84" s="877"/>
      <c r="J84" s="872"/>
    </row>
    <row r="85" spans="1:11" ht="74.25" customHeight="1" x14ac:dyDescent="0.2">
      <c r="A85" s="878"/>
      <c r="B85" s="878"/>
      <c r="C85" s="878"/>
      <c r="D85" s="878"/>
      <c r="E85" s="877"/>
      <c r="F85" s="878"/>
      <c r="G85" s="878"/>
      <c r="H85" s="365" t="s">
        <v>508</v>
      </c>
      <c r="I85" s="877"/>
      <c r="J85" s="872"/>
    </row>
    <row r="86" spans="1:11" ht="83.25" customHeight="1" x14ac:dyDescent="0.2">
      <c r="A86" s="878" t="s">
        <v>123</v>
      </c>
      <c r="B86" s="878" t="s">
        <v>124</v>
      </c>
      <c r="C86" s="878" t="s">
        <v>125</v>
      </c>
      <c r="D86" s="878" t="s">
        <v>1302</v>
      </c>
      <c r="E86" s="877" t="s">
        <v>509</v>
      </c>
      <c r="F86" s="878" t="s">
        <v>510</v>
      </c>
      <c r="G86" s="878" t="s">
        <v>1307</v>
      </c>
      <c r="H86" s="662" t="s">
        <v>1298</v>
      </c>
      <c r="I86" s="877" t="str">
        <f>'P6'!B107</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estima un incentivo a la formalización de $1.610.000 para pequeños  como apoyo en asesoría, documentación, para 10 empresas por cada región, que corresponde al valor de una ha de maíz tradicional,  se estima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Se estima un equipo humano a nivel nacional de 2 personas con un valor promedio de $7.862.772  por diez meses, una persona por cada región con un valor promedio de $3.145.107 con su respectivo rodamiento por un período de 10 meses. Se considera por definir otras formas de promoción.</v>
      </c>
      <c r="J86" s="872">
        <f>'P6'!Y10</f>
        <v>45018273391.800011</v>
      </c>
    </row>
    <row r="87" spans="1:11" ht="57" customHeight="1" x14ac:dyDescent="0.2">
      <c r="A87" s="878"/>
      <c r="B87" s="878"/>
      <c r="C87" s="878"/>
      <c r="D87" s="878"/>
      <c r="E87" s="877"/>
      <c r="F87" s="878"/>
      <c r="G87" s="878"/>
      <c r="H87" s="662" t="s">
        <v>1299</v>
      </c>
      <c r="I87" s="877"/>
      <c r="J87" s="872"/>
    </row>
    <row r="88" spans="1:11" ht="57.75" customHeight="1" x14ac:dyDescent="0.2">
      <c r="A88" s="878"/>
      <c r="B88" s="878"/>
      <c r="C88" s="878"/>
      <c r="D88" s="878"/>
      <c r="E88" s="877"/>
      <c r="F88" s="878"/>
      <c r="G88" s="878"/>
      <c r="H88" s="662" t="s">
        <v>1300</v>
      </c>
      <c r="I88" s="877"/>
      <c r="J88" s="872"/>
    </row>
    <row r="89" spans="1:11" ht="88.5" customHeight="1" x14ac:dyDescent="0.2">
      <c r="A89" s="878"/>
      <c r="B89" s="878"/>
      <c r="C89" s="878"/>
      <c r="D89" s="878"/>
      <c r="E89" s="877"/>
      <c r="F89" s="878"/>
      <c r="G89" s="878"/>
      <c r="H89" s="662" t="s">
        <v>1301</v>
      </c>
      <c r="I89" s="877"/>
      <c r="J89" s="872"/>
    </row>
    <row r="90" spans="1:11" ht="52.5" customHeight="1" x14ac:dyDescent="0.2">
      <c r="A90" s="878" t="s">
        <v>123</v>
      </c>
      <c r="B90" s="878" t="s">
        <v>312</v>
      </c>
      <c r="C90" s="878" t="s">
        <v>313</v>
      </c>
      <c r="D90" s="878" t="s">
        <v>1303</v>
      </c>
      <c r="E90" s="878" t="s">
        <v>511</v>
      </c>
      <c r="F90" s="878" t="s">
        <v>512</v>
      </c>
      <c r="G90" s="880" t="s">
        <v>1308</v>
      </c>
      <c r="H90" s="664" t="s">
        <v>1304</v>
      </c>
      <c r="I90" s="877" t="str">
        <f>'P6'!B131</f>
        <v>Se estima la realización de mesas de trabajo 12 virtuales y 12 presenciales,  se estima la realización de  talleres y/o eventos de divulgación nacional y/regional, dos por región.  Se estima 1 consultor especializado durante 5 meses, cada año para realizar asesoría en formulación de proyectos. Se estima un equipo humano a nivel nacional de 2 personas con un valor promedio de $7.862.772  por diez meses, una persona por cada región con un valor promedio de $3.145.107 con su respectivo rodamiento por un período de 10 meses. Se considera por definir otras formas de promoción.</v>
      </c>
      <c r="J90" s="872">
        <f>'P6'!Y11</f>
        <v>3742341787.5</v>
      </c>
    </row>
    <row r="91" spans="1:11" ht="68.25" customHeight="1" x14ac:dyDescent="0.2">
      <c r="A91" s="878"/>
      <c r="B91" s="878"/>
      <c r="C91" s="878"/>
      <c r="D91" s="878"/>
      <c r="E91" s="878"/>
      <c r="F91" s="878"/>
      <c r="G91" s="881"/>
      <c r="H91" s="664" t="s">
        <v>1305</v>
      </c>
      <c r="I91" s="877"/>
      <c r="J91" s="872"/>
    </row>
    <row r="92" spans="1:11" ht="60" x14ac:dyDescent="0.2">
      <c r="A92" s="878"/>
      <c r="B92" s="878"/>
      <c r="C92" s="878"/>
      <c r="D92" s="878"/>
      <c r="E92" s="878"/>
      <c r="F92" s="878"/>
      <c r="G92" s="882"/>
      <c r="H92" s="664" t="s">
        <v>1306</v>
      </c>
      <c r="I92" s="877"/>
      <c r="J92" s="872"/>
    </row>
    <row r="93" spans="1:11" ht="45.75" customHeight="1" x14ac:dyDescent="0.2">
      <c r="A93" s="878" t="s">
        <v>123</v>
      </c>
      <c r="B93" s="878" t="s">
        <v>128</v>
      </c>
      <c r="C93" s="878" t="s">
        <v>129</v>
      </c>
      <c r="D93" s="878" t="s">
        <v>130</v>
      </c>
      <c r="E93" s="878" t="s">
        <v>513</v>
      </c>
      <c r="F93" s="878" t="s">
        <v>514</v>
      </c>
      <c r="G93" s="878" t="s">
        <v>1310</v>
      </c>
      <c r="H93" s="365" t="s">
        <v>515</v>
      </c>
      <c r="I93" s="877" t="str">
        <f>'P7'!B41</f>
        <v xml:space="preserve">Este proyecto se considera para las 19 subregiones maiceras y 7 regiones a lo largo del territorio nacional. Se estiman 12 mesas de trabajo presencial, 12 mesas de trabajo virtuales, talleres y/o eventos de divulgación nacionales presenciales y 19 virtuales por subregión, un monto de material de divulgación de $3.000.0000 por subregión, se estima pautas en redes sociales por región por un valor global de 5 millones,  2 desarrolladores de plataformas para divulgar información, cursos cortos presenciales y virtuales por subregión, 2 personas que apoyen la realización de actividades a nivel nacional, una persona por región, con rodamiento, apoyos tecnológicos, se estima un 50% de dedicación a este proyecto y el restante tiempo al proyecto 7.2 . </v>
      </c>
      <c r="J93" s="872">
        <f>'P7'!Y8</f>
        <v>14243132557.5</v>
      </c>
    </row>
    <row r="94" spans="1:11" ht="45.75" customHeight="1" x14ac:dyDescent="0.2">
      <c r="A94" s="878"/>
      <c r="B94" s="878"/>
      <c r="C94" s="878"/>
      <c r="D94" s="878"/>
      <c r="E94" s="878"/>
      <c r="F94" s="878"/>
      <c r="G94" s="878"/>
      <c r="H94" s="365" t="s">
        <v>516</v>
      </c>
      <c r="I94" s="877"/>
      <c r="J94" s="872"/>
    </row>
    <row r="95" spans="1:11" ht="60" customHeight="1" x14ac:dyDescent="0.2">
      <c r="A95" s="878"/>
      <c r="B95" s="878"/>
      <c r="C95" s="878"/>
      <c r="D95" s="878"/>
      <c r="E95" s="878"/>
      <c r="F95" s="878"/>
      <c r="G95" s="878"/>
      <c r="H95" s="662" t="s">
        <v>1309</v>
      </c>
      <c r="I95" s="877"/>
      <c r="J95" s="872"/>
    </row>
    <row r="96" spans="1:11" ht="63" customHeight="1" x14ac:dyDescent="0.2">
      <c r="A96" s="878"/>
      <c r="B96" s="878"/>
      <c r="C96" s="878"/>
      <c r="D96" s="878"/>
      <c r="E96" s="878"/>
      <c r="F96" s="878"/>
      <c r="G96" s="878"/>
      <c r="H96" s="364" t="s">
        <v>517</v>
      </c>
      <c r="I96" s="877"/>
      <c r="J96" s="872"/>
    </row>
    <row r="97" spans="1:10" ht="117" customHeight="1" x14ac:dyDescent="0.2">
      <c r="A97" s="878"/>
      <c r="B97" s="878"/>
      <c r="C97" s="878"/>
      <c r="D97" s="878"/>
      <c r="E97" s="878"/>
      <c r="F97" s="878"/>
      <c r="G97" s="878"/>
      <c r="H97" s="365" t="s">
        <v>518</v>
      </c>
      <c r="I97" s="877"/>
      <c r="J97" s="872"/>
    </row>
    <row r="98" spans="1:10" ht="82.5" customHeight="1" x14ac:dyDescent="0.2">
      <c r="A98" s="878"/>
      <c r="B98" s="878"/>
      <c r="C98" s="878"/>
      <c r="D98" s="878"/>
      <c r="E98" s="878"/>
      <c r="F98" s="878"/>
      <c r="G98" s="878"/>
      <c r="H98" s="365" t="s">
        <v>519</v>
      </c>
      <c r="I98" s="877"/>
      <c r="J98" s="872"/>
    </row>
    <row r="99" spans="1:10" ht="66.75" customHeight="1" x14ac:dyDescent="0.2">
      <c r="A99" s="878" t="s">
        <v>123</v>
      </c>
      <c r="B99" s="878" t="s">
        <v>128</v>
      </c>
      <c r="C99" s="878" t="s">
        <v>129</v>
      </c>
      <c r="D99" s="878" t="s">
        <v>131</v>
      </c>
      <c r="E99" s="878" t="s">
        <v>520</v>
      </c>
      <c r="F99" s="878" t="s">
        <v>521</v>
      </c>
      <c r="G99" s="878" t="s">
        <v>1313</v>
      </c>
      <c r="H99" s="662" t="s">
        <v>522</v>
      </c>
      <c r="I99" s="877" t="str">
        <f>'P7'!B75</f>
        <v>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v>
      </c>
      <c r="J99" s="872">
        <f>'P7'!Y9</f>
        <v>37995941791</v>
      </c>
    </row>
    <row r="100" spans="1:10" ht="71.25" customHeight="1" x14ac:dyDescent="0.2">
      <c r="A100" s="878"/>
      <c r="B100" s="878"/>
      <c r="C100" s="878"/>
      <c r="D100" s="878"/>
      <c r="E100" s="878"/>
      <c r="F100" s="878"/>
      <c r="G100" s="878"/>
      <c r="H100" s="662" t="s">
        <v>1311</v>
      </c>
      <c r="I100" s="877"/>
      <c r="J100" s="872"/>
    </row>
    <row r="101" spans="1:10" ht="90.75" customHeight="1" x14ac:dyDescent="0.2">
      <c r="A101" s="878"/>
      <c r="B101" s="878"/>
      <c r="C101" s="878"/>
      <c r="D101" s="878"/>
      <c r="E101" s="878"/>
      <c r="F101" s="878"/>
      <c r="G101" s="878"/>
      <c r="H101" s="662" t="s">
        <v>1312</v>
      </c>
      <c r="I101" s="877"/>
      <c r="J101" s="872"/>
    </row>
    <row r="102" spans="1:10" ht="61.5" customHeight="1" x14ac:dyDescent="0.2">
      <c r="A102" s="878"/>
      <c r="B102" s="878"/>
      <c r="C102" s="878"/>
      <c r="D102" s="878"/>
      <c r="E102" s="878"/>
      <c r="F102" s="878"/>
      <c r="G102" s="878"/>
      <c r="H102" s="662" t="s">
        <v>523</v>
      </c>
      <c r="I102" s="877"/>
      <c r="J102" s="872"/>
    </row>
    <row r="103" spans="1:10" ht="104.25" customHeight="1" x14ac:dyDescent="0.2">
      <c r="A103" s="879" t="s">
        <v>132</v>
      </c>
      <c r="B103" s="879" t="s">
        <v>133</v>
      </c>
      <c r="C103" s="879" t="s">
        <v>134</v>
      </c>
      <c r="D103" s="879" t="s">
        <v>135</v>
      </c>
      <c r="E103" s="879" t="s">
        <v>524</v>
      </c>
      <c r="F103" s="879" t="s">
        <v>525</v>
      </c>
      <c r="G103" s="879" t="s">
        <v>526</v>
      </c>
      <c r="H103" s="365" t="s">
        <v>527</v>
      </c>
      <c r="I103" s="876" t="str">
        <f>'P8'!B45</f>
        <v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Se considera "Por definir" la implementación del modelo I+D+i y otras formas de fortalecimiento. </v>
      </c>
      <c r="J103" s="872">
        <f>'P8'!Y8</f>
        <v>7040381400.5094995</v>
      </c>
    </row>
    <row r="104" spans="1:10" ht="118.5" customHeight="1" x14ac:dyDescent="0.2">
      <c r="A104" s="879"/>
      <c r="B104" s="879"/>
      <c r="C104" s="879"/>
      <c r="D104" s="879"/>
      <c r="E104" s="879"/>
      <c r="F104" s="879"/>
      <c r="G104" s="879"/>
      <c r="H104" s="662" t="s">
        <v>1314</v>
      </c>
      <c r="I104" s="876"/>
      <c r="J104" s="872"/>
    </row>
    <row r="105" spans="1:10" ht="130.5" customHeight="1" x14ac:dyDescent="0.2">
      <c r="A105" s="879"/>
      <c r="B105" s="879"/>
      <c r="C105" s="879"/>
      <c r="D105" s="879"/>
      <c r="E105" s="879"/>
      <c r="F105" s="879"/>
      <c r="G105" s="879"/>
      <c r="H105" s="365" t="s">
        <v>528</v>
      </c>
      <c r="I105" s="876"/>
      <c r="J105" s="872"/>
    </row>
    <row r="106" spans="1:10" ht="65.25" customHeight="1" x14ac:dyDescent="0.2">
      <c r="A106" s="879"/>
      <c r="B106" s="879"/>
      <c r="C106" s="879"/>
      <c r="D106" s="879"/>
      <c r="E106" s="879"/>
      <c r="F106" s="879"/>
      <c r="G106" s="879"/>
      <c r="H106" s="365" t="s">
        <v>529</v>
      </c>
      <c r="I106" s="876"/>
      <c r="J106" s="872"/>
    </row>
    <row r="107" spans="1:10" ht="59.25" customHeight="1" x14ac:dyDescent="0.2">
      <c r="A107" s="879" t="s">
        <v>116</v>
      </c>
      <c r="B107" s="879" t="s">
        <v>530</v>
      </c>
      <c r="C107" s="879"/>
      <c r="D107" s="879"/>
      <c r="E107" s="879"/>
      <c r="F107" s="879"/>
      <c r="G107" s="879"/>
      <c r="H107" s="365" t="s">
        <v>531</v>
      </c>
      <c r="I107" s="876"/>
      <c r="J107" s="872"/>
    </row>
    <row r="108" spans="1:10" ht="76.5" customHeight="1" x14ac:dyDescent="0.2">
      <c r="A108" s="879"/>
      <c r="B108" s="879"/>
      <c r="C108" s="879"/>
      <c r="D108" s="879"/>
      <c r="E108" s="879"/>
      <c r="F108" s="879"/>
      <c r="G108" s="879"/>
      <c r="H108" s="365" t="s">
        <v>532</v>
      </c>
      <c r="I108" s="876"/>
      <c r="J108" s="872"/>
    </row>
    <row r="109" spans="1:10" ht="59.25" customHeight="1" x14ac:dyDescent="0.2">
      <c r="A109" s="879"/>
      <c r="B109" s="879"/>
      <c r="C109" s="879"/>
      <c r="D109" s="879"/>
      <c r="E109" s="879"/>
      <c r="F109" s="879"/>
      <c r="G109" s="879"/>
      <c r="H109" s="365" t="s">
        <v>533</v>
      </c>
      <c r="I109" s="876"/>
      <c r="J109" s="872"/>
    </row>
    <row r="110" spans="1:10" ht="74.25" customHeight="1" x14ac:dyDescent="0.2">
      <c r="A110" s="879"/>
      <c r="B110" s="879"/>
      <c r="C110" s="879"/>
      <c r="D110" s="879"/>
      <c r="E110" s="879"/>
      <c r="F110" s="879"/>
      <c r="G110" s="879"/>
      <c r="H110" s="365" t="s">
        <v>534</v>
      </c>
      <c r="I110" s="876"/>
      <c r="J110" s="872"/>
    </row>
    <row r="111" spans="1:10" ht="61.5" customHeight="1" x14ac:dyDescent="0.2">
      <c r="A111" s="879" t="s">
        <v>132</v>
      </c>
      <c r="B111" s="879" t="s">
        <v>133</v>
      </c>
      <c r="C111" s="879" t="s">
        <v>136</v>
      </c>
      <c r="D111" s="879" t="s">
        <v>137</v>
      </c>
      <c r="E111" s="876" t="s">
        <v>535</v>
      </c>
      <c r="F111" s="879" t="s">
        <v>536</v>
      </c>
      <c r="G111" s="879" t="s">
        <v>537</v>
      </c>
      <c r="H111" s="365" t="s">
        <v>538</v>
      </c>
      <c r="I111" s="876" t="str">
        <f>'P8'!B85</f>
        <v>Se estiman 25 mesas de trabajo (4 presenciales y 19 virtuales), 4 talleres y/o eventos de divulgación nacionales, talleres y/o eventos de divulgación regionales (7 presenciales y 19 virtuales - 1 en cada subregión), 19 parcelas demostrativas y 19 giras técnicas (1 en cada subregión). Se estiman, cursos cortos, cursos libres, y diplomados presenciales (1 en cada una de las subregiones) y virtuales (5 en cada una de las 19 subregiones). Se estima un apoyo del 30% para formación tecnológica y/o universitaria, maestría y doctorado. Se estima un equipo humano nacional de 2 personas, con viáticos y desplazamientos, y viajes y viáticos internacionales, y un equipo en región de 7 personas, con rodamiento (peajes y combustible) y apoyos tecnológicos (GPS y Tablet). Se considera "Por definir" Otros tipos de fortalecimiento.</v>
      </c>
      <c r="J111" s="872">
        <f>'P8'!Y9</f>
        <v>20193874384</v>
      </c>
    </row>
    <row r="112" spans="1:10" ht="66.75" customHeight="1" x14ac:dyDescent="0.2">
      <c r="A112" s="879"/>
      <c r="B112" s="879"/>
      <c r="C112" s="879"/>
      <c r="D112" s="879"/>
      <c r="E112" s="876"/>
      <c r="F112" s="879"/>
      <c r="G112" s="879"/>
      <c r="H112" s="365" t="s">
        <v>539</v>
      </c>
      <c r="I112" s="876"/>
      <c r="J112" s="872"/>
    </row>
    <row r="113" spans="1:10" ht="61.5" customHeight="1" x14ac:dyDescent="0.2">
      <c r="A113" s="879"/>
      <c r="B113" s="879"/>
      <c r="C113" s="879"/>
      <c r="D113" s="879"/>
      <c r="E113" s="876"/>
      <c r="F113" s="879"/>
      <c r="G113" s="879"/>
      <c r="H113" s="365" t="s">
        <v>540</v>
      </c>
      <c r="I113" s="876"/>
      <c r="J113" s="872"/>
    </row>
    <row r="114" spans="1:10" ht="74.25" customHeight="1" x14ac:dyDescent="0.2">
      <c r="A114" s="879"/>
      <c r="B114" s="879"/>
      <c r="C114" s="879"/>
      <c r="D114" s="879"/>
      <c r="E114" s="876"/>
      <c r="F114" s="879"/>
      <c r="G114" s="879"/>
      <c r="H114" s="365" t="s">
        <v>541</v>
      </c>
      <c r="I114" s="876"/>
      <c r="J114" s="872"/>
    </row>
    <row r="115" spans="1:10" ht="57" customHeight="1" x14ac:dyDescent="0.2">
      <c r="A115" s="879"/>
      <c r="B115" s="879"/>
      <c r="C115" s="879"/>
      <c r="D115" s="879"/>
      <c r="E115" s="876"/>
      <c r="F115" s="879"/>
      <c r="G115" s="879"/>
      <c r="H115" s="365" t="s">
        <v>542</v>
      </c>
      <c r="I115" s="876"/>
      <c r="J115" s="872"/>
    </row>
    <row r="116" spans="1:10" ht="88.5" customHeight="1" x14ac:dyDescent="0.2">
      <c r="A116" s="879"/>
      <c r="B116" s="879"/>
      <c r="C116" s="879"/>
      <c r="D116" s="879"/>
      <c r="E116" s="876"/>
      <c r="F116" s="879"/>
      <c r="G116" s="879"/>
      <c r="H116" s="365" t="s">
        <v>543</v>
      </c>
      <c r="I116" s="876"/>
      <c r="J116" s="872"/>
    </row>
    <row r="117" spans="1:10" ht="78" customHeight="1" x14ac:dyDescent="0.2">
      <c r="A117" s="879"/>
      <c r="B117" s="879"/>
      <c r="C117" s="879"/>
      <c r="D117" s="879"/>
      <c r="E117" s="876"/>
      <c r="F117" s="879"/>
      <c r="G117" s="879"/>
      <c r="H117" s="365" t="s">
        <v>544</v>
      </c>
      <c r="I117" s="876"/>
      <c r="J117" s="872"/>
    </row>
    <row r="118" spans="1:10" ht="60" customHeight="1" x14ac:dyDescent="0.2">
      <c r="A118" s="878" t="s">
        <v>132</v>
      </c>
      <c r="B118" s="878" t="s">
        <v>138</v>
      </c>
      <c r="C118" s="878" t="s">
        <v>139</v>
      </c>
      <c r="D118" s="878" t="s">
        <v>140</v>
      </c>
      <c r="E118" s="877" t="s">
        <v>545</v>
      </c>
      <c r="F118" s="877" t="s">
        <v>546</v>
      </c>
      <c r="G118" s="878" t="s">
        <v>1321</v>
      </c>
      <c r="H118" s="662" t="s">
        <v>547</v>
      </c>
      <c r="I118" s="877" t="str">
        <f>'P9'!B49</f>
        <v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que se deja por definir. El proyecto contempla acciones para el diseño de la estrategia financiera y otras formas de fortalecimiento que se deja por definir, considerando el nivel de información con que se cuenta. </v>
      </c>
      <c r="J118" s="872">
        <f>'P9'!Y8</f>
        <v>2057705527.5</v>
      </c>
    </row>
    <row r="119" spans="1:10" ht="60" customHeight="1" x14ac:dyDescent="0.2">
      <c r="A119" s="878"/>
      <c r="B119" s="878"/>
      <c r="C119" s="878"/>
      <c r="D119" s="878"/>
      <c r="E119" s="877"/>
      <c r="F119" s="877"/>
      <c r="G119" s="878"/>
      <c r="H119" s="662" t="s">
        <v>548</v>
      </c>
      <c r="I119" s="877"/>
      <c r="J119" s="872"/>
    </row>
    <row r="120" spans="1:10" ht="61.5" customHeight="1" x14ac:dyDescent="0.2">
      <c r="A120" s="878"/>
      <c r="B120" s="878"/>
      <c r="C120" s="878"/>
      <c r="D120" s="878"/>
      <c r="E120" s="877"/>
      <c r="F120" s="877"/>
      <c r="G120" s="878"/>
      <c r="H120" s="664" t="s">
        <v>1315</v>
      </c>
      <c r="I120" s="877"/>
      <c r="J120" s="872"/>
    </row>
    <row r="121" spans="1:10" ht="84" customHeight="1" x14ac:dyDescent="0.2">
      <c r="A121" s="878"/>
      <c r="B121" s="878"/>
      <c r="C121" s="878"/>
      <c r="D121" s="878"/>
      <c r="E121" s="877"/>
      <c r="F121" s="877"/>
      <c r="G121" s="878"/>
      <c r="H121" s="662" t="s">
        <v>1316</v>
      </c>
      <c r="I121" s="877"/>
      <c r="J121" s="872"/>
    </row>
    <row r="122" spans="1:10" ht="84" customHeight="1" x14ac:dyDescent="0.2">
      <c r="A122" s="878"/>
      <c r="B122" s="878"/>
      <c r="C122" s="878"/>
      <c r="D122" s="878"/>
      <c r="E122" s="877"/>
      <c r="F122" s="877"/>
      <c r="G122" s="878"/>
      <c r="H122" s="664" t="s">
        <v>1317</v>
      </c>
      <c r="I122" s="877"/>
      <c r="J122" s="872"/>
    </row>
    <row r="123" spans="1:10" ht="85.5" customHeight="1" x14ac:dyDescent="0.2">
      <c r="A123" s="878"/>
      <c r="B123" s="878"/>
      <c r="C123" s="878"/>
      <c r="D123" s="878"/>
      <c r="E123" s="877"/>
      <c r="F123" s="877"/>
      <c r="G123" s="878"/>
      <c r="H123" s="664" t="s">
        <v>1318</v>
      </c>
      <c r="I123" s="877"/>
      <c r="J123" s="872"/>
    </row>
    <row r="124" spans="1:10" ht="75" customHeight="1" x14ac:dyDescent="0.2">
      <c r="A124" s="878"/>
      <c r="B124" s="878"/>
      <c r="C124" s="878"/>
      <c r="D124" s="878"/>
      <c r="E124" s="877"/>
      <c r="F124" s="877"/>
      <c r="G124" s="878"/>
      <c r="H124" s="664" t="s">
        <v>1319</v>
      </c>
      <c r="I124" s="877"/>
      <c r="J124" s="872"/>
    </row>
    <row r="125" spans="1:10" ht="90.75" customHeight="1" x14ac:dyDescent="0.2">
      <c r="A125" s="878"/>
      <c r="B125" s="878"/>
      <c r="C125" s="878"/>
      <c r="D125" s="878"/>
      <c r="E125" s="877"/>
      <c r="F125" s="877"/>
      <c r="G125" s="878"/>
      <c r="H125" s="664" t="s">
        <v>1320</v>
      </c>
      <c r="I125" s="877"/>
      <c r="J125" s="872"/>
    </row>
    <row r="126" spans="1:10" ht="76.5" customHeight="1" x14ac:dyDescent="0.2">
      <c r="A126" s="878" t="s">
        <v>132</v>
      </c>
      <c r="B126" s="878" t="s">
        <v>138</v>
      </c>
      <c r="C126" s="878" t="s">
        <v>141</v>
      </c>
      <c r="D126" s="878" t="s">
        <v>142</v>
      </c>
      <c r="E126" s="877" t="s">
        <v>549</v>
      </c>
      <c r="F126" s="878" t="s">
        <v>550</v>
      </c>
      <c r="G126" s="878" t="s">
        <v>1324</v>
      </c>
      <c r="H126" s="662" t="s">
        <v>551</v>
      </c>
      <c r="I126" s="877" t="str">
        <f>'P9'!B75</f>
        <v xml:space="preserve">Se estima realizar 1 taller nacional y los talleres presenciales por subregión (priorizando 10 zonas por su ubicación estratégica), 1 taller virtual por subregión (19), 1  mesa de trabajo por región (7) y una mesa de trabajo virtual por región (7) y se incluyen mesas internacionales y nacionales para conocer experiencias (3), para el desarrollo de las actividades se proyectan 3 profesionales con un promedio salarial de 7.862.772 para el apoyo de las actividades del proyecto a nivel nacional, considerando el desplazamiento y viáticos. El proyecto contempla acciones de contribuir en el recaudo de la cuota de fomento cerealista que se deja por definir, considerando el nivel de información con que se cuenta.  Se considera un monto global de 60 millones para consultorías especializadas que apoyen el diseño y/o mejora de las normas técnicas para comercialización de maíz, así como el diseño y/o mejora de otros instrumentos para comercialización, empresarización, gestión de riesgo. </v>
      </c>
      <c r="J126" s="872">
        <f>'P9'!Y9</f>
        <v>1566164870</v>
      </c>
    </row>
    <row r="127" spans="1:10" ht="75" customHeight="1" x14ac:dyDescent="0.2">
      <c r="A127" s="878"/>
      <c r="B127" s="878"/>
      <c r="C127" s="878"/>
      <c r="D127" s="878"/>
      <c r="E127" s="877"/>
      <c r="F127" s="878"/>
      <c r="G127" s="878"/>
      <c r="H127" s="664" t="s">
        <v>552</v>
      </c>
      <c r="I127" s="877"/>
      <c r="J127" s="872"/>
    </row>
    <row r="128" spans="1:10" ht="65.25" customHeight="1" x14ac:dyDescent="0.2">
      <c r="A128" s="878"/>
      <c r="B128" s="878"/>
      <c r="C128" s="878"/>
      <c r="D128" s="878"/>
      <c r="E128" s="877"/>
      <c r="F128" s="878"/>
      <c r="G128" s="878"/>
      <c r="H128" s="664" t="s">
        <v>553</v>
      </c>
      <c r="I128" s="877"/>
      <c r="J128" s="872"/>
    </row>
    <row r="129" spans="1:10" ht="53.25" customHeight="1" x14ac:dyDescent="0.2">
      <c r="A129" s="878"/>
      <c r="B129" s="878"/>
      <c r="C129" s="878"/>
      <c r="D129" s="878"/>
      <c r="E129" s="877"/>
      <c r="F129" s="878"/>
      <c r="G129" s="878"/>
      <c r="H129" s="664" t="s">
        <v>1322</v>
      </c>
      <c r="I129" s="877"/>
      <c r="J129" s="872"/>
    </row>
    <row r="130" spans="1:10" ht="63.75" customHeight="1" x14ac:dyDescent="0.2">
      <c r="A130" s="878"/>
      <c r="B130" s="878"/>
      <c r="C130" s="878"/>
      <c r="D130" s="878"/>
      <c r="E130" s="877"/>
      <c r="F130" s="878"/>
      <c r="G130" s="878"/>
      <c r="H130" s="662" t="s">
        <v>554</v>
      </c>
      <c r="I130" s="877"/>
      <c r="J130" s="872"/>
    </row>
    <row r="131" spans="1:10" ht="60.75" customHeight="1" x14ac:dyDescent="0.2">
      <c r="A131" s="878"/>
      <c r="B131" s="878"/>
      <c r="C131" s="878"/>
      <c r="D131" s="878"/>
      <c r="E131" s="877"/>
      <c r="F131" s="878"/>
      <c r="G131" s="878"/>
      <c r="H131" s="662" t="s">
        <v>1323</v>
      </c>
      <c r="I131" s="877"/>
      <c r="J131" s="872"/>
    </row>
    <row r="132" spans="1:10" ht="48.75" customHeight="1" x14ac:dyDescent="0.2">
      <c r="A132" s="878"/>
      <c r="B132" s="878"/>
      <c r="C132" s="878"/>
      <c r="D132" s="878"/>
      <c r="E132" s="877"/>
      <c r="F132" s="878"/>
      <c r="G132" s="878"/>
      <c r="H132" s="662" t="s">
        <v>555</v>
      </c>
      <c r="I132" s="877"/>
      <c r="J132" s="872"/>
    </row>
    <row r="133" spans="1:10" ht="43.5" customHeight="1" x14ac:dyDescent="0.2">
      <c r="A133" s="878"/>
      <c r="B133" s="878"/>
      <c r="C133" s="878"/>
      <c r="D133" s="878"/>
      <c r="E133" s="877"/>
      <c r="F133" s="878"/>
      <c r="G133" s="878"/>
      <c r="H133" s="662" t="s">
        <v>556</v>
      </c>
      <c r="I133" s="877"/>
      <c r="J133" s="872"/>
    </row>
    <row r="134" spans="1:10" s="665" customFormat="1" ht="87.75" customHeight="1" x14ac:dyDescent="0.2">
      <c r="A134" s="874" t="s">
        <v>132</v>
      </c>
      <c r="B134" s="874" t="s">
        <v>314</v>
      </c>
      <c r="C134" s="874" t="s">
        <v>141</v>
      </c>
      <c r="D134" s="874" t="s">
        <v>315</v>
      </c>
      <c r="E134" s="871" t="s">
        <v>557</v>
      </c>
      <c r="F134" s="874" t="s">
        <v>558</v>
      </c>
      <c r="G134" s="874" t="s">
        <v>1328</v>
      </c>
      <c r="H134" s="664" t="s">
        <v>559</v>
      </c>
      <c r="I134" s="871" t="str">
        <f>'P9'!B107</f>
        <v>Se estima realizar 1 taller nacional y los talleres por región (7) presenciales, 2 talleres virtual por subregión (10) con mayor potencial para la producción de maíz tecnificado de mediana y gran escala y una mesa de trabajo presencial por cada región (7) y dos mesas de trabajo virtuales por cada región (14).  Para el desarrollo de las actividades a nivel nacional se proyectan 5 profesionales con un promedio de ingresos de $8.953.563, con experiencia en el sector y en las diferentes líneas temáticas con un coordinador de equipo. Se contemplan viajes internacionales para consolidar la red de colaboradores, el fortalecimiento de un equipo regional con profesionales y técnicos de acuerdo a las regiones con mayor potencial para la producción de maíz tecnificado de mediana y gran escala, considerando rodamientos, desplazamientos y viáticos. Se fortalecen la estrategia de comunicación con 1 campaña publicitaria institucional y 1 plan de medios radial a nivel subregional (10).  El proyecto contempla promover la red colaborativa de manera permanente que se deja por definir, considerando el nivel de información con que se cuenta.</v>
      </c>
      <c r="J134" s="872">
        <f>'P9'!Y10</f>
        <v>3917872174.5</v>
      </c>
    </row>
    <row r="135" spans="1:10" s="665" customFormat="1" ht="63" customHeight="1" x14ac:dyDescent="0.2">
      <c r="A135" s="874"/>
      <c r="B135" s="874"/>
      <c r="C135" s="874"/>
      <c r="D135" s="874"/>
      <c r="E135" s="871"/>
      <c r="F135" s="874"/>
      <c r="G135" s="874"/>
      <c r="H135" s="664" t="s">
        <v>560</v>
      </c>
      <c r="I135" s="871"/>
      <c r="J135" s="872"/>
    </row>
    <row r="136" spans="1:10" s="665" customFormat="1" ht="65.25" customHeight="1" x14ac:dyDescent="0.2">
      <c r="A136" s="874"/>
      <c r="B136" s="874"/>
      <c r="C136" s="874"/>
      <c r="D136" s="874"/>
      <c r="E136" s="871"/>
      <c r="F136" s="874"/>
      <c r="G136" s="874"/>
      <c r="H136" s="664" t="s">
        <v>561</v>
      </c>
      <c r="I136" s="871"/>
      <c r="J136" s="872"/>
    </row>
    <row r="137" spans="1:10" s="665" customFormat="1" ht="67.5" customHeight="1" x14ac:dyDescent="0.2">
      <c r="A137" s="874"/>
      <c r="B137" s="874"/>
      <c r="C137" s="874"/>
      <c r="D137" s="874"/>
      <c r="E137" s="871"/>
      <c r="F137" s="874"/>
      <c r="G137" s="874"/>
      <c r="H137" s="664" t="s">
        <v>1325</v>
      </c>
      <c r="I137" s="871"/>
      <c r="J137" s="872"/>
    </row>
    <row r="138" spans="1:10" s="665" customFormat="1" ht="119.25" customHeight="1" x14ac:dyDescent="0.2">
      <c r="A138" s="874"/>
      <c r="B138" s="874"/>
      <c r="C138" s="874"/>
      <c r="D138" s="874"/>
      <c r="E138" s="871"/>
      <c r="F138" s="874"/>
      <c r="G138" s="874"/>
      <c r="H138" s="664" t="s">
        <v>562</v>
      </c>
      <c r="I138" s="871"/>
      <c r="J138" s="872"/>
    </row>
    <row r="139" spans="1:10" s="665" customFormat="1" ht="69.75" customHeight="1" x14ac:dyDescent="0.2">
      <c r="A139" s="874"/>
      <c r="B139" s="874"/>
      <c r="C139" s="874"/>
      <c r="D139" s="874"/>
      <c r="E139" s="871"/>
      <c r="F139" s="874"/>
      <c r="G139" s="874"/>
      <c r="H139" s="664" t="s">
        <v>1326</v>
      </c>
      <c r="I139" s="871"/>
      <c r="J139" s="872"/>
    </row>
    <row r="140" spans="1:10" s="665" customFormat="1" ht="89.25" customHeight="1" x14ac:dyDescent="0.2">
      <c r="A140" s="874"/>
      <c r="B140" s="874"/>
      <c r="C140" s="874"/>
      <c r="D140" s="874"/>
      <c r="E140" s="871"/>
      <c r="F140" s="874"/>
      <c r="G140" s="874"/>
      <c r="H140" s="664" t="s">
        <v>1327</v>
      </c>
      <c r="I140" s="871"/>
      <c r="J140" s="872"/>
    </row>
    <row r="141" spans="1:10" s="665" customFormat="1" ht="126" customHeight="1" x14ac:dyDescent="0.2">
      <c r="A141" s="874" t="s">
        <v>132</v>
      </c>
      <c r="B141" s="874" t="s">
        <v>138</v>
      </c>
      <c r="C141" s="874" t="s">
        <v>141</v>
      </c>
      <c r="D141" s="874" t="s">
        <v>316</v>
      </c>
      <c r="E141" s="871" t="s">
        <v>563</v>
      </c>
      <c r="F141" s="874" t="s">
        <v>564</v>
      </c>
      <c r="G141" s="874" t="s">
        <v>565</v>
      </c>
      <c r="H141" s="662" t="s">
        <v>566</v>
      </c>
      <c r="I141" s="871" t="str">
        <f>'P9'!B130</f>
        <v xml:space="preserve">Se estima realizar 1 taller nacional y dos talleres presenciales por región (14),  1 taller virtual por subregión (19) y una mesa de trabajo presencial por cada región (7) y una mesa de trabajo virtual por región (7).  Para el desarrollo de las actividades se proyectan  3 profesionales con un promedio salarial de $7.862.772 para el apoyo de las actividades del proyecto a nivel nacional y el fortalecimiento de un equipo regional con profesionales y técnicos a los cuales se les asigna dos subregiones, considerando el rodamientos, desplazamiento, viáticos y el apoyo técnico requerido.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v>
      </c>
      <c r="J141" s="872">
        <f>'P9'!Y11</f>
        <v>2117394813.75</v>
      </c>
    </row>
    <row r="142" spans="1:10" s="665" customFormat="1" ht="138" customHeight="1" x14ac:dyDescent="0.2">
      <c r="A142" s="874"/>
      <c r="B142" s="874"/>
      <c r="C142" s="874"/>
      <c r="D142" s="874"/>
      <c r="E142" s="871"/>
      <c r="F142" s="874"/>
      <c r="G142" s="874"/>
      <c r="H142" s="662" t="s">
        <v>567</v>
      </c>
      <c r="I142" s="871"/>
      <c r="J142" s="872"/>
    </row>
    <row r="143" spans="1:10" s="665" customFormat="1" ht="108.75" customHeight="1" x14ac:dyDescent="0.2">
      <c r="A143" s="874"/>
      <c r="B143" s="874"/>
      <c r="C143" s="874"/>
      <c r="D143" s="874"/>
      <c r="E143" s="871"/>
      <c r="F143" s="874"/>
      <c r="G143" s="874"/>
      <c r="H143" s="662" t="s">
        <v>568</v>
      </c>
      <c r="I143" s="871"/>
      <c r="J143" s="872"/>
    </row>
    <row r="144" spans="1:10" s="665" customFormat="1" ht="76.5" customHeight="1" x14ac:dyDescent="0.2">
      <c r="A144" s="874"/>
      <c r="B144" s="874"/>
      <c r="C144" s="874"/>
      <c r="D144" s="874"/>
      <c r="E144" s="871"/>
      <c r="F144" s="874"/>
      <c r="G144" s="874"/>
      <c r="H144" s="664" t="s">
        <v>569</v>
      </c>
      <c r="I144" s="871"/>
      <c r="J144" s="872"/>
    </row>
    <row r="145" spans="1:10" s="665" customFormat="1" ht="61.5" customHeight="1" x14ac:dyDescent="0.2">
      <c r="A145" s="874" t="s">
        <v>132</v>
      </c>
      <c r="B145" s="874" t="s">
        <v>138</v>
      </c>
      <c r="C145" s="874" t="s">
        <v>141</v>
      </c>
      <c r="D145" s="874" t="s">
        <v>317</v>
      </c>
      <c r="E145" s="871" t="s">
        <v>570</v>
      </c>
      <c r="F145" s="874" t="s">
        <v>571</v>
      </c>
      <c r="G145" s="874" t="s">
        <v>572</v>
      </c>
      <c r="H145" s="662" t="s">
        <v>573</v>
      </c>
      <c r="I145" s="871" t="str">
        <f>'P9'!B152</f>
        <v xml:space="preserve">Se estima mesas de trabajo presenciales (7) y mesas  virtuales por subregión (19), un taller y evento de divulgación presencial por región.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Se deja por definir el acompañamiento y consolidación de las gestión de los comités regionales de la cadena de maíz. </v>
      </c>
      <c r="J145" s="872">
        <f>'P9'!Y12</f>
        <v>960943473</v>
      </c>
    </row>
    <row r="146" spans="1:10" s="665" customFormat="1" ht="52.5" customHeight="1" x14ac:dyDescent="0.2">
      <c r="A146" s="874"/>
      <c r="B146" s="874"/>
      <c r="C146" s="874"/>
      <c r="D146" s="874"/>
      <c r="E146" s="871"/>
      <c r="F146" s="874"/>
      <c r="G146" s="874"/>
      <c r="H146" s="662" t="s">
        <v>574</v>
      </c>
      <c r="I146" s="871"/>
      <c r="J146" s="872"/>
    </row>
    <row r="147" spans="1:10" s="665" customFormat="1" ht="48.75" customHeight="1" x14ac:dyDescent="0.2">
      <c r="A147" s="874"/>
      <c r="B147" s="874"/>
      <c r="C147" s="874"/>
      <c r="D147" s="874"/>
      <c r="E147" s="871"/>
      <c r="F147" s="874"/>
      <c r="G147" s="874"/>
      <c r="H147" s="662" t="s">
        <v>575</v>
      </c>
      <c r="I147" s="871"/>
      <c r="J147" s="872"/>
    </row>
    <row r="148" spans="1:10" s="665" customFormat="1" ht="46.5" customHeight="1" x14ac:dyDescent="0.2">
      <c r="A148" s="874"/>
      <c r="B148" s="874"/>
      <c r="C148" s="874"/>
      <c r="D148" s="874"/>
      <c r="E148" s="871"/>
      <c r="F148" s="874"/>
      <c r="G148" s="874"/>
      <c r="H148" s="662" t="s">
        <v>576</v>
      </c>
      <c r="I148" s="871"/>
      <c r="J148" s="872"/>
    </row>
    <row r="149" spans="1:10" s="665" customFormat="1" ht="77.25" customHeight="1" x14ac:dyDescent="0.2">
      <c r="A149" s="874"/>
      <c r="B149" s="874"/>
      <c r="C149" s="874"/>
      <c r="D149" s="874"/>
      <c r="E149" s="871"/>
      <c r="F149" s="874"/>
      <c r="G149" s="874"/>
      <c r="H149" s="662" t="s">
        <v>1329</v>
      </c>
      <c r="I149" s="871"/>
      <c r="J149" s="872"/>
    </row>
    <row r="150" spans="1:10" s="665" customFormat="1" ht="51.75" customHeight="1" x14ac:dyDescent="0.2">
      <c r="A150" s="874" t="s">
        <v>132</v>
      </c>
      <c r="B150" s="874" t="s">
        <v>138</v>
      </c>
      <c r="C150" s="874" t="s">
        <v>141</v>
      </c>
      <c r="D150" s="874" t="s">
        <v>318</v>
      </c>
      <c r="E150" s="871" t="s">
        <v>577</v>
      </c>
      <c r="F150" s="874" t="s">
        <v>578</v>
      </c>
      <c r="G150" s="874" t="s">
        <v>579</v>
      </c>
      <c r="H150" s="662" t="s">
        <v>580</v>
      </c>
      <c r="I150" s="871" t="str">
        <f>'P9'!B177</f>
        <v>Se estima mesas de trabajo presenciales por región y mesas de trabajo virtuales por subregión (19), talleres y eventos de divulgación nacional y regional.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(compartidos con el proyecto 9.4., se cuenta con un profesional desarrollador de la plataforma de seguimiento del POP. Por definir de dejan las actividades de empoderamiento gradual y seguimiento y evaluación POP</v>
      </c>
      <c r="J150" s="872">
        <f>'P9'!Y13</f>
        <v>1066113129</v>
      </c>
    </row>
    <row r="151" spans="1:10" s="665" customFormat="1" ht="51.75" customHeight="1" x14ac:dyDescent="0.2">
      <c r="A151" s="874"/>
      <c r="B151" s="874"/>
      <c r="C151" s="874"/>
      <c r="D151" s="874"/>
      <c r="E151" s="871"/>
      <c r="F151" s="874"/>
      <c r="G151" s="874"/>
      <c r="H151" s="662" t="s">
        <v>581</v>
      </c>
      <c r="I151" s="871"/>
      <c r="J151" s="872"/>
    </row>
    <row r="152" spans="1:10" s="665" customFormat="1" ht="51.75" customHeight="1" x14ac:dyDescent="0.2">
      <c r="A152" s="874"/>
      <c r="B152" s="874"/>
      <c r="C152" s="874"/>
      <c r="D152" s="874"/>
      <c r="E152" s="871"/>
      <c r="F152" s="874"/>
      <c r="G152" s="874"/>
      <c r="H152" s="668" t="s">
        <v>582</v>
      </c>
      <c r="I152" s="871"/>
      <c r="J152" s="872"/>
    </row>
    <row r="153" spans="1:10" s="665" customFormat="1" ht="91.5" customHeight="1" x14ac:dyDescent="0.2">
      <c r="A153" s="874"/>
      <c r="B153" s="874"/>
      <c r="C153" s="874"/>
      <c r="D153" s="874"/>
      <c r="E153" s="871"/>
      <c r="F153" s="874"/>
      <c r="G153" s="875"/>
      <c r="H153" s="672" t="s">
        <v>583</v>
      </c>
      <c r="I153" s="873"/>
      <c r="J153" s="872"/>
    </row>
    <row r="154" spans="1:10" s="665" customFormat="1" ht="52.5" customHeight="1" x14ac:dyDescent="0.2">
      <c r="A154" s="874"/>
      <c r="B154" s="874"/>
      <c r="C154" s="874"/>
      <c r="D154" s="874"/>
      <c r="E154" s="871"/>
      <c r="F154" s="874"/>
      <c r="G154" s="875"/>
      <c r="H154" s="672" t="s">
        <v>584</v>
      </c>
      <c r="I154" s="873"/>
      <c r="J154" s="872"/>
    </row>
    <row r="155" spans="1:10" s="665" customFormat="1" ht="43.5" customHeight="1" x14ac:dyDescent="0.2">
      <c r="A155" s="874"/>
      <c r="B155" s="874"/>
      <c r="C155" s="874"/>
      <c r="D155" s="874"/>
      <c r="E155" s="871"/>
      <c r="F155" s="874"/>
      <c r="G155" s="875"/>
      <c r="H155" s="672" t="s">
        <v>585</v>
      </c>
      <c r="I155" s="873"/>
      <c r="J155" s="872"/>
    </row>
    <row r="156" spans="1:10" s="670" customFormat="1" ht="46.5" customHeight="1" x14ac:dyDescent="0.2">
      <c r="A156" s="669"/>
      <c r="C156" s="669"/>
      <c r="E156" s="671"/>
      <c r="F156" s="669"/>
      <c r="G156" s="669"/>
      <c r="H156" s="669"/>
      <c r="I156" s="678" t="s">
        <v>608</v>
      </c>
      <c r="J156" s="674">
        <f>SUM(J2:J155)</f>
        <v>4027154650909.3833</v>
      </c>
    </row>
    <row r="157" spans="1:10" s="670" customFormat="1" x14ac:dyDescent="0.2">
      <c r="A157" s="669"/>
      <c r="C157" s="669"/>
      <c r="E157" s="671"/>
      <c r="F157" s="669"/>
      <c r="G157" s="669"/>
      <c r="H157" s="669"/>
      <c r="I157" s="679"/>
      <c r="J157" s="675"/>
    </row>
    <row r="158" spans="1:10" s="670" customFormat="1" x14ac:dyDescent="0.2">
      <c r="A158" s="669"/>
      <c r="C158" s="669"/>
      <c r="E158" s="671"/>
      <c r="F158" s="669"/>
      <c r="G158" s="669"/>
      <c r="H158" s="669"/>
      <c r="I158" s="679"/>
      <c r="J158" s="675"/>
    </row>
    <row r="159" spans="1:10" s="670" customFormat="1" x14ac:dyDescent="0.2">
      <c r="A159" s="669"/>
      <c r="C159" s="669"/>
      <c r="E159" s="671"/>
      <c r="F159" s="669"/>
      <c r="G159" s="669"/>
      <c r="H159" s="669"/>
      <c r="I159" s="679"/>
      <c r="J159" s="675"/>
    </row>
    <row r="160" spans="1:10" s="670" customFormat="1" x14ac:dyDescent="0.2">
      <c r="A160" s="669"/>
      <c r="C160" s="669"/>
      <c r="E160" s="671"/>
      <c r="F160" s="669"/>
      <c r="G160" s="669"/>
      <c r="H160" s="669"/>
      <c r="I160" s="679"/>
      <c r="J160" s="675"/>
    </row>
    <row r="161" spans="1:10" s="670" customFormat="1" x14ac:dyDescent="0.2">
      <c r="A161" s="669"/>
      <c r="C161" s="669"/>
      <c r="E161" s="671"/>
      <c r="F161" s="669"/>
      <c r="G161" s="669"/>
      <c r="H161" s="669"/>
      <c r="I161" s="679"/>
      <c r="J161" s="675"/>
    </row>
    <row r="162" spans="1:10" s="670" customFormat="1" x14ac:dyDescent="0.2">
      <c r="A162" s="669"/>
      <c r="C162" s="669"/>
      <c r="E162" s="671"/>
      <c r="F162" s="669"/>
      <c r="G162" s="669"/>
      <c r="H162" s="669"/>
      <c r="I162" s="679"/>
      <c r="J162" s="675"/>
    </row>
    <row r="163" spans="1:10" s="670" customFormat="1" x14ac:dyDescent="0.2">
      <c r="A163" s="669"/>
      <c r="C163" s="669"/>
      <c r="E163" s="671"/>
      <c r="F163" s="669"/>
      <c r="G163" s="669"/>
      <c r="H163" s="669"/>
      <c r="I163" s="679"/>
      <c r="J163" s="675"/>
    </row>
    <row r="164" spans="1:10" s="670" customFormat="1" x14ac:dyDescent="0.2">
      <c r="A164" s="669"/>
      <c r="C164" s="669"/>
      <c r="E164" s="671"/>
      <c r="F164" s="669"/>
      <c r="G164" s="669"/>
      <c r="H164" s="669"/>
      <c r="I164" s="679"/>
      <c r="J164" s="675"/>
    </row>
    <row r="165" spans="1:10" s="670" customFormat="1" x14ac:dyDescent="0.2">
      <c r="A165" s="669"/>
      <c r="C165" s="669"/>
      <c r="E165" s="671"/>
      <c r="F165" s="669"/>
      <c r="G165" s="669"/>
      <c r="H165" s="669"/>
      <c r="I165" s="679"/>
      <c r="J165" s="675"/>
    </row>
    <row r="166" spans="1:10" s="670" customFormat="1" x14ac:dyDescent="0.2">
      <c r="A166" s="669"/>
      <c r="C166" s="669"/>
      <c r="E166" s="671"/>
      <c r="F166" s="669"/>
      <c r="G166" s="669"/>
      <c r="H166" s="669"/>
      <c r="I166" s="679"/>
      <c r="J166" s="675"/>
    </row>
    <row r="167" spans="1:10" s="670" customFormat="1" x14ac:dyDescent="0.2">
      <c r="A167" s="669"/>
      <c r="C167" s="669"/>
      <c r="E167" s="671"/>
      <c r="F167" s="669"/>
      <c r="G167" s="669"/>
      <c r="H167" s="669"/>
      <c r="I167" s="679"/>
      <c r="J167" s="675"/>
    </row>
    <row r="168" spans="1:10" s="670" customFormat="1" x14ac:dyDescent="0.2">
      <c r="A168" s="669"/>
      <c r="C168" s="669"/>
      <c r="E168" s="671"/>
      <c r="F168" s="669"/>
      <c r="G168" s="669"/>
      <c r="H168" s="669"/>
      <c r="I168" s="679"/>
      <c r="J168" s="675"/>
    </row>
    <row r="169" spans="1:10" s="670" customFormat="1" x14ac:dyDescent="0.2">
      <c r="A169" s="669"/>
      <c r="C169" s="669"/>
      <c r="E169" s="671"/>
      <c r="F169" s="669"/>
      <c r="G169" s="669"/>
      <c r="H169" s="669"/>
      <c r="I169" s="679"/>
      <c r="J169" s="675"/>
    </row>
    <row r="170" spans="1:10" s="670" customFormat="1" x14ac:dyDescent="0.2">
      <c r="A170" s="669"/>
      <c r="C170" s="669"/>
      <c r="E170" s="671"/>
      <c r="F170" s="669"/>
      <c r="G170" s="669"/>
      <c r="H170" s="669"/>
      <c r="I170" s="679"/>
      <c r="J170" s="675"/>
    </row>
    <row r="171" spans="1:10" s="670" customFormat="1" x14ac:dyDescent="0.2">
      <c r="A171" s="669"/>
      <c r="C171" s="669"/>
      <c r="E171" s="671"/>
      <c r="F171" s="669"/>
      <c r="G171" s="669"/>
      <c r="H171" s="669"/>
      <c r="I171" s="679"/>
      <c r="J171" s="675"/>
    </row>
    <row r="172" spans="1:10" s="670" customFormat="1" x14ac:dyDescent="0.2">
      <c r="A172" s="669"/>
      <c r="C172" s="669"/>
      <c r="E172" s="671"/>
      <c r="F172" s="669"/>
      <c r="G172" s="669"/>
      <c r="H172" s="669"/>
      <c r="I172" s="679"/>
      <c r="J172" s="675"/>
    </row>
    <row r="173" spans="1:10" s="670" customFormat="1" x14ac:dyDescent="0.2">
      <c r="A173" s="669"/>
      <c r="C173" s="669"/>
      <c r="E173" s="671"/>
      <c r="F173" s="669"/>
      <c r="G173" s="669"/>
      <c r="H173" s="669"/>
      <c r="I173" s="679"/>
      <c r="J173" s="675"/>
    </row>
    <row r="174" spans="1:10" s="670" customFormat="1" x14ac:dyDescent="0.2">
      <c r="A174" s="669"/>
      <c r="C174" s="669"/>
      <c r="E174" s="671"/>
      <c r="F174" s="669"/>
      <c r="G174" s="669"/>
      <c r="H174" s="669"/>
      <c r="I174" s="679"/>
      <c r="J174" s="675"/>
    </row>
    <row r="175" spans="1:10" s="670" customFormat="1" x14ac:dyDescent="0.2">
      <c r="A175" s="669"/>
      <c r="C175" s="669"/>
      <c r="E175" s="671"/>
      <c r="F175" s="669"/>
      <c r="G175" s="669"/>
      <c r="H175" s="669"/>
      <c r="I175" s="679"/>
      <c r="J175" s="675"/>
    </row>
    <row r="176" spans="1:10" s="670" customFormat="1" x14ac:dyDescent="0.2">
      <c r="A176" s="669"/>
      <c r="C176" s="669"/>
      <c r="E176" s="671"/>
      <c r="F176" s="669"/>
      <c r="G176" s="669"/>
      <c r="H176" s="669"/>
      <c r="I176" s="679"/>
      <c r="J176" s="675"/>
    </row>
    <row r="177" spans="1:10" s="670" customFormat="1" x14ac:dyDescent="0.2">
      <c r="A177" s="669"/>
      <c r="C177" s="669"/>
      <c r="E177" s="671"/>
      <c r="F177" s="669"/>
      <c r="G177" s="669"/>
      <c r="H177" s="669"/>
      <c r="I177" s="679"/>
      <c r="J177" s="675"/>
    </row>
    <row r="178" spans="1:10" s="670" customFormat="1" x14ac:dyDescent="0.2">
      <c r="A178" s="669"/>
      <c r="C178" s="669"/>
      <c r="E178" s="671"/>
      <c r="F178" s="669"/>
      <c r="G178" s="669"/>
      <c r="H178" s="669"/>
      <c r="I178" s="679"/>
      <c r="J178" s="675"/>
    </row>
    <row r="179" spans="1:10" s="670" customFormat="1" x14ac:dyDescent="0.2">
      <c r="A179" s="669"/>
      <c r="C179" s="669"/>
      <c r="E179" s="671"/>
      <c r="F179" s="669"/>
      <c r="G179" s="669"/>
      <c r="H179" s="669"/>
      <c r="I179" s="679"/>
      <c r="J179" s="675"/>
    </row>
    <row r="180" spans="1:10" s="670" customFormat="1" x14ac:dyDescent="0.2">
      <c r="A180" s="669"/>
      <c r="C180" s="669"/>
      <c r="E180" s="671"/>
      <c r="F180" s="669"/>
      <c r="G180" s="669"/>
      <c r="H180" s="669"/>
      <c r="I180" s="679"/>
      <c r="J180" s="675"/>
    </row>
    <row r="181" spans="1:10" s="670" customFormat="1" x14ac:dyDescent="0.2">
      <c r="A181" s="669"/>
      <c r="C181" s="669"/>
      <c r="E181" s="671"/>
      <c r="F181" s="669"/>
      <c r="G181" s="669"/>
      <c r="H181" s="669"/>
      <c r="I181" s="679"/>
      <c r="J181" s="675"/>
    </row>
    <row r="182" spans="1:10" s="670" customFormat="1" x14ac:dyDescent="0.2">
      <c r="A182" s="669"/>
      <c r="C182" s="669"/>
      <c r="E182" s="671"/>
      <c r="F182" s="669"/>
      <c r="G182" s="669"/>
      <c r="H182" s="669"/>
      <c r="I182" s="679"/>
      <c r="J182" s="675"/>
    </row>
    <row r="183" spans="1:10" s="670" customFormat="1" x14ac:dyDescent="0.2">
      <c r="A183" s="669"/>
      <c r="C183" s="669"/>
      <c r="E183" s="671"/>
      <c r="F183" s="669"/>
      <c r="G183" s="669"/>
      <c r="H183" s="669"/>
      <c r="I183" s="679"/>
      <c r="J183" s="675"/>
    </row>
    <row r="184" spans="1:10" s="670" customFormat="1" x14ac:dyDescent="0.2">
      <c r="A184" s="669"/>
      <c r="C184" s="669"/>
      <c r="E184" s="671"/>
      <c r="F184" s="669"/>
      <c r="G184" s="669"/>
      <c r="H184" s="669"/>
      <c r="I184" s="679"/>
      <c r="J184" s="675"/>
    </row>
  </sheetData>
  <sheetProtection algorithmName="SHA-512" hashValue="df/QtTkJiZyx0LQ3fVE2oKPcTVQGA/l+hOu04p/fZykZEfTXH65+a9e/5keEXQxcCLDI/uup+gPr5+H2DfUJ6g==" saltValue="yHxfzmp/wROa5NHA590rOg==" spinCount="100000" sheet="1" objects="1" scenarios="1"/>
  <mergeCells count="243">
    <mergeCell ref="A145:A149"/>
    <mergeCell ref="B145:B149"/>
    <mergeCell ref="C145:C149"/>
    <mergeCell ref="G126:G133"/>
    <mergeCell ref="A126:A133"/>
    <mergeCell ref="B126:B133"/>
    <mergeCell ref="C126:C133"/>
    <mergeCell ref="D126:D133"/>
    <mergeCell ref="E126:E133"/>
    <mergeCell ref="F126:F133"/>
    <mergeCell ref="A141:A144"/>
    <mergeCell ref="B141:B144"/>
    <mergeCell ref="C141:C144"/>
    <mergeCell ref="D141:D144"/>
    <mergeCell ref="E141:E144"/>
    <mergeCell ref="F141:F144"/>
    <mergeCell ref="G141:G144"/>
    <mergeCell ref="G111:G117"/>
    <mergeCell ref="A118:A125"/>
    <mergeCell ref="B118:B125"/>
    <mergeCell ref="C118:C125"/>
    <mergeCell ref="D118:D125"/>
    <mergeCell ref="E118:E125"/>
    <mergeCell ref="F118:F125"/>
    <mergeCell ref="G118:G125"/>
    <mergeCell ref="A111:A117"/>
    <mergeCell ref="B111:B117"/>
    <mergeCell ref="C111:C117"/>
    <mergeCell ref="D111:D117"/>
    <mergeCell ref="E111:E117"/>
    <mergeCell ref="F111:F117"/>
    <mergeCell ref="G99:G102"/>
    <mergeCell ref="A103:A110"/>
    <mergeCell ref="B103:B110"/>
    <mergeCell ref="C103:C110"/>
    <mergeCell ref="D103:D110"/>
    <mergeCell ref="E103:E110"/>
    <mergeCell ref="F103:F110"/>
    <mergeCell ref="G103:G110"/>
    <mergeCell ref="A99:A102"/>
    <mergeCell ref="B99:B102"/>
    <mergeCell ref="C99:C102"/>
    <mergeCell ref="D99:D102"/>
    <mergeCell ref="E99:E102"/>
    <mergeCell ref="F99:F102"/>
    <mergeCell ref="A86:A89"/>
    <mergeCell ref="B86:B89"/>
    <mergeCell ref="C86:C89"/>
    <mergeCell ref="D86:D89"/>
    <mergeCell ref="E86:E89"/>
    <mergeCell ref="F86:F89"/>
    <mergeCell ref="G86:G89"/>
    <mergeCell ref="G90:G92"/>
    <mergeCell ref="A93:A98"/>
    <mergeCell ref="B93:B98"/>
    <mergeCell ref="C93:C98"/>
    <mergeCell ref="D93:D98"/>
    <mergeCell ref="E93:E98"/>
    <mergeCell ref="F93:F98"/>
    <mergeCell ref="G93:G98"/>
    <mergeCell ref="A90:A92"/>
    <mergeCell ref="B90:B92"/>
    <mergeCell ref="C90:C92"/>
    <mergeCell ref="D90:D92"/>
    <mergeCell ref="E90:E92"/>
    <mergeCell ref="F90:F92"/>
    <mergeCell ref="G77:G81"/>
    <mergeCell ref="A82:A85"/>
    <mergeCell ref="B82:B85"/>
    <mergeCell ref="C82:C85"/>
    <mergeCell ref="D82:D85"/>
    <mergeCell ref="E82:E85"/>
    <mergeCell ref="F82:F85"/>
    <mergeCell ref="G82:G85"/>
    <mergeCell ref="A77:A81"/>
    <mergeCell ref="B77:B81"/>
    <mergeCell ref="C77:C81"/>
    <mergeCell ref="D77:D81"/>
    <mergeCell ref="E77:E81"/>
    <mergeCell ref="F77:F81"/>
    <mergeCell ref="G63:G69"/>
    <mergeCell ref="A70:A76"/>
    <mergeCell ref="B70:B76"/>
    <mergeCell ref="C70:C76"/>
    <mergeCell ref="D70:D76"/>
    <mergeCell ref="E70:E76"/>
    <mergeCell ref="F70:F76"/>
    <mergeCell ref="G70:G76"/>
    <mergeCell ref="A63:A69"/>
    <mergeCell ref="B63:B69"/>
    <mergeCell ref="C63:C69"/>
    <mergeCell ref="D63:D69"/>
    <mergeCell ref="E63:E69"/>
    <mergeCell ref="F63:F69"/>
    <mergeCell ref="A60:A62"/>
    <mergeCell ref="B60:B62"/>
    <mergeCell ref="C60:C62"/>
    <mergeCell ref="D60:D62"/>
    <mergeCell ref="E60:E62"/>
    <mergeCell ref="F60:F62"/>
    <mergeCell ref="G60:G62"/>
    <mergeCell ref="A53:A59"/>
    <mergeCell ref="B53:B59"/>
    <mergeCell ref="C53:C59"/>
    <mergeCell ref="D53:D59"/>
    <mergeCell ref="E53:E59"/>
    <mergeCell ref="F53:F59"/>
    <mergeCell ref="G53:G59"/>
    <mergeCell ref="A47:A52"/>
    <mergeCell ref="B47:B52"/>
    <mergeCell ref="C47:C52"/>
    <mergeCell ref="D47:D52"/>
    <mergeCell ref="E47:E52"/>
    <mergeCell ref="F47:F52"/>
    <mergeCell ref="G47:G52"/>
    <mergeCell ref="A42:A46"/>
    <mergeCell ref="B42:B46"/>
    <mergeCell ref="C42:C46"/>
    <mergeCell ref="D42:D46"/>
    <mergeCell ref="E42:E46"/>
    <mergeCell ref="F42:F46"/>
    <mergeCell ref="A39:A41"/>
    <mergeCell ref="B39:B41"/>
    <mergeCell ref="C39:C41"/>
    <mergeCell ref="D39:D41"/>
    <mergeCell ref="E39:E41"/>
    <mergeCell ref="F39:F41"/>
    <mergeCell ref="G39:G41"/>
    <mergeCell ref="A35:A38"/>
    <mergeCell ref="B35:B38"/>
    <mergeCell ref="C35:C38"/>
    <mergeCell ref="D35:D38"/>
    <mergeCell ref="E35:E38"/>
    <mergeCell ref="F35:F38"/>
    <mergeCell ref="A21:A27"/>
    <mergeCell ref="B21:B27"/>
    <mergeCell ref="C21:C27"/>
    <mergeCell ref="D21:D27"/>
    <mergeCell ref="E21:E27"/>
    <mergeCell ref="F21:F27"/>
    <mergeCell ref="A28:A34"/>
    <mergeCell ref="B28:B34"/>
    <mergeCell ref="C28:C34"/>
    <mergeCell ref="D28:D34"/>
    <mergeCell ref="E28:E34"/>
    <mergeCell ref="F28:F34"/>
    <mergeCell ref="A8:A13"/>
    <mergeCell ref="B8:B13"/>
    <mergeCell ref="C8:C13"/>
    <mergeCell ref="D8:D13"/>
    <mergeCell ref="E8:E13"/>
    <mergeCell ref="F8:F13"/>
    <mergeCell ref="G8:G13"/>
    <mergeCell ref="A2:A7"/>
    <mergeCell ref="B2:B7"/>
    <mergeCell ref="C2:C7"/>
    <mergeCell ref="D2:D7"/>
    <mergeCell ref="E2:E7"/>
    <mergeCell ref="F2:F7"/>
    <mergeCell ref="I2:I7"/>
    <mergeCell ref="I8:I13"/>
    <mergeCell ref="I21:I27"/>
    <mergeCell ref="I35:I38"/>
    <mergeCell ref="I39:I41"/>
    <mergeCell ref="I42:I46"/>
    <mergeCell ref="I47:I52"/>
    <mergeCell ref="I28:I34"/>
    <mergeCell ref="G2:G7"/>
    <mergeCell ref="G21:G27"/>
    <mergeCell ref="G28:G34"/>
    <mergeCell ref="G35:G38"/>
    <mergeCell ref="G42:G46"/>
    <mergeCell ref="I99:I102"/>
    <mergeCell ref="I103:I110"/>
    <mergeCell ref="I111:I117"/>
    <mergeCell ref="I118:I125"/>
    <mergeCell ref="I126:I133"/>
    <mergeCell ref="I60:I62"/>
    <mergeCell ref="I63:I69"/>
    <mergeCell ref="I70:I76"/>
    <mergeCell ref="I77:I81"/>
    <mergeCell ref="I82:I85"/>
    <mergeCell ref="I86:I89"/>
    <mergeCell ref="I90:I92"/>
    <mergeCell ref="I93:I98"/>
    <mergeCell ref="J63:J69"/>
    <mergeCell ref="J70:J76"/>
    <mergeCell ref="J77:J81"/>
    <mergeCell ref="J82:J85"/>
    <mergeCell ref="J86:J89"/>
    <mergeCell ref="J90:J92"/>
    <mergeCell ref="J93:J98"/>
    <mergeCell ref="J2:J7"/>
    <mergeCell ref="J8:J13"/>
    <mergeCell ref="J21:J27"/>
    <mergeCell ref="J35:J38"/>
    <mergeCell ref="J39:J41"/>
    <mergeCell ref="J42:J46"/>
    <mergeCell ref="J47:J52"/>
    <mergeCell ref="J28:J34"/>
    <mergeCell ref="A14:A20"/>
    <mergeCell ref="B14:B20"/>
    <mergeCell ref="C14:C20"/>
    <mergeCell ref="D14:D20"/>
    <mergeCell ref="E14:E20"/>
    <mergeCell ref="F14:F20"/>
    <mergeCell ref="G14:G20"/>
    <mergeCell ref="I14:I20"/>
    <mergeCell ref="J14:J20"/>
    <mergeCell ref="A150:A155"/>
    <mergeCell ref="B150:B155"/>
    <mergeCell ref="C150:C155"/>
    <mergeCell ref="D150:D155"/>
    <mergeCell ref="E150:E155"/>
    <mergeCell ref="F150:F155"/>
    <mergeCell ref="G150:G155"/>
    <mergeCell ref="I53:I59"/>
    <mergeCell ref="J53:J59"/>
    <mergeCell ref="A134:A140"/>
    <mergeCell ref="B134:B140"/>
    <mergeCell ref="C134:C140"/>
    <mergeCell ref="D134:D140"/>
    <mergeCell ref="E134:E140"/>
    <mergeCell ref="F134:F140"/>
    <mergeCell ref="G134:G140"/>
    <mergeCell ref="I134:I140"/>
    <mergeCell ref="J134:J140"/>
    <mergeCell ref="J99:J102"/>
    <mergeCell ref="J103:J110"/>
    <mergeCell ref="J111:J117"/>
    <mergeCell ref="J118:J125"/>
    <mergeCell ref="J126:J133"/>
    <mergeCell ref="J60:J62"/>
    <mergeCell ref="I141:I144"/>
    <mergeCell ref="J141:J144"/>
    <mergeCell ref="I145:I149"/>
    <mergeCell ref="J145:J149"/>
    <mergeCell ref="I150:I155"/>
    <mergeCell ref="J150:J155"/>
    <mergeCell ref="D145:D149"/>
    <mergeCell ref="E145:E149"/>
    <mergeCell ref="F145:F149"/>
    <mergeCell ref="G145:G1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9cfb9293b72e52201a6dd4733c420c9e">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8962f50eb57aaa8c6bdbdcf6ea00a385"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Maiz</Categoría_x0020_POP1>
    <VariationsItemGroupID xmlns="http://schemas.microsoft.com/sharepoint/v3">9dfb8ca9-beb6-45aa-a7f8-fa97de655fa7</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F81384CE-37C4-4616-91BB-37DEEBDD5D3F}"/>
</file>

<file path=customXml/itemProps2.xml><?xml version="1.0" encoding="utf-8"?>
<ds:datastoreItem xmlns:ds="http://schemas.openxmlformats.org/officeDocument/2006/customXml" ds:itemID="{8D6FE8CA-821A-41A0-8038-D563D510A09B}"/>
</file>

<file path=customXml/itemProps3.xml><?xml version="1.0" encoding="utf-8"?>
<ds:datastoreItem xmlns:ds="http://schemas.openxmlformats.org/officeDocument/2006/customXml" ds:itemID="{516FBAA9-3B58-48B1-85CE-64CF790E98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Instructivo</vt:lpstr>
      <vt:lpstr>Directrices  Generales </vt:lpstr>
      <vt:lpstr>Glosario categoria de costos</vt:lpstr>
      <vt:lpstr>Categoria Costos Def</vt:lpstr>
      <vt:lpstr>Estimación anualizada </vt:lpstr>
      <vt:lpstr>Estimación por período</vt:lpstr>
      <vt:lpstr>Fuentes</vt:lpstr>
      <vt:lpstr>P1</vt:lpstr>
      <vt:lpstr>P2</vt:lpstr>
      <vt:lpstr>P3</vt:lpstr>
      <vt:lpstr>P4</vt:lpstr>
      <vt:lpstr>P5</vt:lpstr>
      <vt:lpstr>P6</vt:lpstr>
      <vt:lpstr>P7</vt:lpstr>
      <vt:lpstr>P8</vt:lpstr>
      <vt:lpstr>P9</vt:lpstr>
      <vt:lpstr>Portafolio_Cadena_Maíz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 Estimación de costos</dc:title>
  <dc:creator>Jannia Gómez</dc:creator>
  <cp:lastModifiedBy>Alejandro Flórez Vanegas</cp:lastModifiedBy>
  <dcterms:created xsi:type="dcterms:W3CDTF">2022-02-23T13:55:35Z</dcterms:created>
  <dcterms:modified xsi:type="dcterms:W3CDTF">2022-06-30T15:15:32Z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